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D:\RESPALDOS MAJO\RIESGOS 2020\PEMS\2026\FEBRERO\"/>
    </mc:Choice>
  </mc:AlternateContent>
  <xr:revisionPtr revIDLastSave="0" documentId="13_ncr:1_{E6C2BF45-97FC-42FB-96B8-75CEBA127933}" xr6:coauthVersionLast="47" xr6:coauthVersionMax="47" xr10:uidLastSave="{00000000-0000-0000-0000-000000000000}"/>
  <bookViews>
    <workbookView xWindow="-108" yWindow="-108" windowWidth="23256" windowHeight="12456" xr2:uid="{00000000-000D-0000-FFFF-FFFF00000000}"/>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5" i="6" l="1"/>
  <c r="DX23" i="6"/>
  <c r="DX11" i="6"/>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8" i="5"/>
  <c r="AN48" i="5"/>
  <c r="AM48" i="5"/>
  <c r="AL48" i="5"/>
  <c r="AK48" i="5"/>
  <c r="AJ48" i="5"/>
  <c r="AI48" i="5"/>
  <c r="AH48" i="5"/>
  <c r="AG48" i="5"/>
  <c r="AF48" i="5"/>
  <c r="AE48" i="5"/>
  <c r="AD48" i="5"/>
  <c r="AC48" i="5"/>
  <c r="AB48" i="5"/>
  <c r="AO47" i="5"/>
  <c r="AN47" i="5"/>
  <c r="AM47" i="5"/>
  <c r="AL47" i="5"/>
  <c r="AK47" i="5"/>
  <c r="AJ47" i="5"/>
  <c r="AI47" i="5"/>
  <c r="AH47" i="5"/>
  <c r="AG47" i="5"/>
  <c r="AF47" i="5"/>
  <c r="AE47" i="5"/>
  <c r="AD47" i="5"/>
  <c r="AC47" i="5"/>
  <c r="AB47" i="5"/>
  <c r="AO46" i="5"/>
  <c r="AN46" i="5"/>
  <c r="AM46" i="5"/>
  <c r="AL46" i="5"/>
  <c r="AK46" i="5"/>
  <c r="AJ46" i="5"/>
  <c r="AI46" i="5"/>
  <c r="AH46" i="5"/>
  <c r="AG46" i="5"/>
  <c r="AF46" i="5"/>
  <c r="AE46" i="5"/>
  <c r="AD46" i="5"/>
  <c r="AC46" i="5"/>
  <c r="AB46" i="5"/>
  <c r="AO39" i="5"/>
  <c r="AN39" i="5"/>
  <c r="AM39" i="5"/>
  <c r="AL39" i="5"/>
  <c r="AK39" i="5"/>
  <c r="AJ39" i="5"/>
  <c r="AI39" i="5"/>
  <c r="AH39" i="5"/>
  <c r="AG39" i="5"/>
  <c r="AF39" i="5"/>
  <c r="AE39" i="5"/>
  <c r="AD39" i="5"/>
  <c r="AC39" i="5"/>
  <c r="AB39" i="5"/>
  <c r="X39" i="5"/>
  <c r="Q39" i="5"/>
  <c r="AA48" i="5"/>
  <c r="Z48" i="5"/>
  <c r="Y48" i="5"/>
  <c r="X48" i="5"/>
  <c r="W48" i="5"/>
  <c r="V48" i="5"/>
  <c r="U48" i="5"/>
  <c r="T48" i="5"/>
  <c r="S48" i="5"/>
  <c r="R48" i="5"/>
  <c r="Q48" i="5"/>
  <c r="P48" i="5"/>
  <c r="O48" i="5"/>
  <c r="N48" i="5"/>
  <c r="M48" i="5"/>
  <c r="L48" i="5"/>
  <c r="K48" i="5"/>
  <c r="J48" i="5"/>
  <c r="I48" i="5"/>
  <c r="H48" i="5"/>
  <c r="G48" i="5"/>
  <c r="F48" i="5"/>
  <c r="E48" i="5"/>
  <c r="D48" i="5"/>
  <c r="AA47" i="5"/>
  <c r="Z47" i="5"/>
  <c r="Y47" i="5"/>
  <c r="X47" i="5"/>
  <c r="W47" i="5"/>
  <c r="V47" i="5"/>
  <c r="U47" i="5"/>
  <c r="T47" i="5"/>
  <c r="S47" i="5"/>
  <c r="R47" i="5"/>
  <c r="Q47" i="5"/>
  <c r="P47" i="5"/>
  <c r="O47" i="5"/>
  <c r="N47" i="5"/>
  <c r="M47" i="5"/>
  <c r="L47" i="5"/>
  <c r="K47" i="5"/>
  <c r="J47" i="5"/>
  <c r="I47" i="5"/>
  <c r="H47" i="5"/>
  <c r="G47" i="5"/>
  <c r="F47" i="5"/>
  <c r="E47" i="5"/>
  <c r="D47" i="5"/>
  <c r="AA46" i="5"/>
  <c r="Z46" i="5"/>
  <c r="Y46" i="5"/>
  <c r="X46" i="5"/>
  <c r="W46" i="5"/>
  <c r="V46" i="5"/>
  <c r="U46" i="5"/>
  <c r="T46" i="5"/>
  <c r="S46" i="5"/>
  <c r="R46" i="5"/>
  <c r="Q46" i="5"/>
  <c r="P46" i="5"/>
  <c r="O46" i="5"/>
  <c r="N46" i="5"/>
  <c r="M46" i="5"/>
  <c r="L46" i="5"/>
  <c r="K46" i="5"/>
  <c r="J46" i="5"/>
  <c r="I46" i="5"/>
  <c r="H46" i="5"/>
  <c r="G46" i="5"/>
  <c r="F46" i="5"/>
  <c r="E46" i="5"/>
  <c r="D46"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<sst xmlns="http://schemas.openxmlformats.org/spreadsheetml/2006/main" count="417" uniqueCount="127">
  <si>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</si>
  <si>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</si>
  <si>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</si>
  <si>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</si>
  <si>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</si>
  <si>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</si>
  <si>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</si>
  <si>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</si>
  <si>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</si>
  <si>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</si>
  <si>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</si>
  <si>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</si>
  <si>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</si>
  <si>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</si>
  <si>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</si>
  <si>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</si>
  <si>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</si>
  <si>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</si>
  <si>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</si>
  <si>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</si>
  <si>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</si>
  <si>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</si>
  <si>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</si>
  <si>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</si>
  <si>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</si>
  <si>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</si>
  <si>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</si>
  <si>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</si>
  <si>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</si>
  <si>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</si>
  <si>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</si>
  <si>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</si>
  <si>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</si>
  <si>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</si>
  <si>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</si>
  <si>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</si>
  <si>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</si>
  <si>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</si>
  <si>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</si>
  <si>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</si>
  <si>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</si>
  <si>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</si>
  <si>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</si>
  <si>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</si>
  <si>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</si>
  <si>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</si>
  <si>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</si>
  <si>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</si>
  <si>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</si>
  <si>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</si>
  <si>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</si>
  <si>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</si>
  <si>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</si>
  <si>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</si>
  <si>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</si>
  <si>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</si>
  <si>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</si>
  <si>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</si>
  <si>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</si>
  <si>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</si>
  <si>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</si>
  <si>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</si>
  <si>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</si>
  <si>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</si>
  <si>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</si>
  <si>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</si>
  <si>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</si>
  <si>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</si>
  <si>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</si>
  <si>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</si>
  <si>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</si>
  <si>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</si>
  <si>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</si>
  <si>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</si>
  <si>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</si>
  <si>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</si>
  <si>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</si>
  <si>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</si>
  <si>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</si>
  <si>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</si>
  <si>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</si>
  <si>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</si>
  <si>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</si>
  <si>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</si>
  <si>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</si>
  <si>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</si>
  <si>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</si>
  <si>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</si>
  <si>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</si>
  <si>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</si>
  <si>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</si>
  <si>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</si>
  <si>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</si>
  <si>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</si>
  <si>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</si>
  <si>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</si>
  <si>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</si>
  <si>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</si>
  <si>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</si>
  <si>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</si>
  <si>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</si>
  <si>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</si>
  <si>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</si>
  <si>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</si>
  <si>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</si>
  <si>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</si>
  <si>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</si>
  <si>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</si>
  <si>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</si>
  <si>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</si>
  <si>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</si>
  <si>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</si>
  <si>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</si>
  <si>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</si>
  <si>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</si>
  <si>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</si>
  <si>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</si>
  <si>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</si>
  <si>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</si>
  <si>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</si>
  <si>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t>Año 2024</t>
  </si>
  <si>
    <t>17) El patrimonio del mes de marzo de 2024, permanece constante con referencia al mes anterior, debido a que el MEF realiza la transferencia de recursos los primeros días del mes siguiente y el registro relizado por el administrador fiduciario se  podrá evidenciar en el mes abril 2024.</t>
  </si>
  <si>
    <t>18) El patrimonio del mes de septiembre de 2024 permanece constante debido a que los recursos transferidos por COSEDE son acreditados por el MEF los primeros días del mes de octubre.</t>
  </si>
  <si>
    <t>Año 2025</t>
  </si>
  <si>
    <r>
      <t xml:space="preserve">PUBLICACIÓN ESTADÍSTICA MENSUAL 
</t>
    </r>
    <r>
      <rPr>
        <b/>
        <sz val="11"/>
        <color theme="0" tint="-0.499984740745262"/>
        <rFont val="Garamond"/>
        <family val="1"/>
      </rPr>
      <t>(datos al 28 de febrero de 2026)</t>
    </r>
  </si>
  <si>
    <t>Al 28 de febrero de 2026</t>
  </si>
  <si>
    <t>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</si>
</sst>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87">
    <xf numFmtId="0" fontId="0" fillId="0" borderId="0" xfId="0"/>
    <xf numFmtId="0" fontId="0" fillId="2" borderId="0" xfId="0" applyFill="1"/>
    <xf numFmtId="0" fontId="0" fillId="2" borderId="0" xfId="0" quotePrefix="1" applyFill="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4" fontId="0" fillId="2" borderId="0" xfId="0" applyNumberFormat="1" applyFill="1" applyAlignment="1">
      <alignment horizontal="left"/>
    </xf>
    <xf numFmtId="4" fontId="0" fillId="2" borderId="0" xfId="0" applyNumberFormat="1" applyFill="1"/>
    <xf numFmtId="164" fontId="0" fillId="2" borderId="0" xfId="0" applyNumberFormat="1" applyFill="1"/>
    <xf numFmtId="0" fontId="5" fillId="2" borderId="0" xfId="0" applyFont="1" applyFill="1" applyAlignment="1">
      <alignment horizontal="center"/>
    </xf>
    <xf numFmtId="165" fontId="0" fillId="0" borderId="0" xfId="1" applyNumberFormat="1" applyFont="1"/>
    <xf numFmtId="0" fontId="8" fillId="0" borderId="0" xfId="0" applyFont="1"/>
    <xf numFmtId="164" fontId="8" fillId="0" borderId="0" xfId="0" applyNumberFormat="1" applyFont="1"/>
    <xf numFmtId="164" fontId="8" fillId="0" borderId="0" xfId="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Alignment="1">
      <alignment vertical="center"/>
    </xf>
    <xf numFmtId="164" fontId="6" fillId="2" borderId="1" xfId="1" applyFont="1" applyFill="1" applyBorder="1"/>
    <xf numFmtId="164" fontId="7" fillId="2" borderId="1" xfId="1" applyFont="1" applyFill="1" applyBorder="1"/>
    <xf numFmtId="164" fontId="6" fillId="7" borderId="1" xfId="1" applyFont="1" applyFill="1" applyBorder="1"/>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Border="1" applyAlignment="1">
      <alignment horizontal="center"/>
    </xf>
    <xf numFmtId="0" fontId="5" fillId="0" borderId="1" xfId="0" applyFont="1" applyBorder="1"/>
    <xf numFmtId="0" fontId="7" fillId="0" borderId="1" xfId="0" applyFont="1" applyBorder="1"/>
    <xf numFmtId="164" fontId="6" fillId="2" borderId="1" xfId="0" applyNumberFormat="1" applyFont="1" applyFill="1" applyBorder="1"/>
    <xf numFmtId="164" fontId="0" fillId="2" borderId="1" xfId="0" applyNumberFormat="1" applyFill="1" applyBorder="1"/>
    <xf numFmtId="164" fontId="0" fillId="7" borderId="1" xfId="0" applyNumberFormat="1" applyFill="1" applyBorder="1"/>
    <xf numFmtId="164" fontId="7" fillId="7" borderId="1" xfId="1" applyFont="1" applyFill="1" applyBorder="1"/>
    <xf numFmtId="164" fontId="5" fillId="2" borderId="1" xfId="0" applyNumberFormat="1" applyFont="1" applyFill="1" applyBorder="1"/>
    <xf numFmtId="164" fontId="0" fillId="0" borderId="1" xfId="0" applyNumberFormat="1" applyBorder="1"/>
    <xf numFmtId="164" fontId="5" fillId="0" borderId="1" xfId="0" applyNumberFormat="1" applyFont="1" applyBorder="1"/>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vertical="center"/>
    </xf>
    <xf numFmtId="164" fontId="0" fillId="0" borderId="0" xfId="0" applyNumberFormat="1"/>
    <xf numFmtId="164" fontId="5" fillId="2" borderId="1" xfId="1" applyFont="1" applyFill="1" applyBorder="1" applyAlignment="1">
      <alignment horizontal="left"/>
    </xf>
    <xf numFmtId="164" fontId="0" fillId="2" borderId="1" xfId="1" applyFont="1" applyFill="1" applyBorder="1" applyAlignment="1">
      <alignment horizontal="left"/>
    </xf>
    <xf numFmtId="164" fontId="0" fillId="7" borderId="1" xfId="1" applyFont="1" applyFill="1" applyBorder="1" applyAlignment="1">
      <alignment horizontal="left"/>
    </xf>
    <xf numFmtId="164" fontId="5" fillId="7" borderId="1" xfId="1" applyFont="1" applyFill="1" applyBorder="1" applyAlignment="1">
      <alignment horizontal="left"/>
    </xf>
    <xf numFmtId="164" fontId="5" fillId="0" borderId="1" xfId="1" applyFont="1" applyFill="1" applyBorder="1" applyAlignment="1">
      <alignment horizontal="left"/>
    </xf>
    <xf numFmtId="164" fontId="0" fillId="0" borderId="1" xfId="1" applyFont="1" applyFill="1" applyBorder="1" applyAlignment="1">
      <alignment horizontal="left"/>
    </xf>
    <xf numFmtId="0" fontId="0" fillId="0" borderId="1" xfId="0" applyBorder="1"/>
    <xf numFmtId="0" fontId="5"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0" borderId="0" xfId="0" applyFont="1" applyAlignment="1">
      <alignment horizontal="center" vertical="center"/>
    </xf>
    <xf numFmtId="0" fontId="0" fillId="0" borderId="0" xfId="0" applyAlignment="1">
      <alignment horizontal="center"/>
    </xf>
    <xf numFmtId="164" fontId="0" fillId="2" borderId="1" xfId="1" applyFont="1" applyFill="1" applyBorder="1"/>
    <xf numFmtId="164" fontId="0" fillId="7" borderId="1" xfId="1" applyFont="1" applyFill="1" applyBorder="1"/>
    <xf numFmtId="164" fontId="0" fillId="0" borderId="1" xfId="1" applyFont="1" applyFill="1" applyBorder="1"/>
    <xf numFmtId="0" fontId="5" fillId="0" borderId="0" xfId="0" applyFont="1"/>
    <xf numFmtId="0" fontId="7" fillId="0" borderId="0" xfId="0" applyFont="1"/>
    <xf numFmtId="0" fontId="0" fillId="0" borderId="0" xfId="0" applyAlignment="1">
      <alignment wrapText="1"/>
    </xf>
    <xf numFmtId="0" fontId="0" fillId="2" borderId="0" xfId="0" applyFill="1" applyAlignment="1">
      <alignment horizontal="left"/>
    </xf>
    <xf numFmtId="0" fontId="7" fillId="2" borderId="0" xfId="0" applyFont="1" applyFill="1" applyAlignment="1">
      <alignment horizontal="justify" vertical="center" wrapText="1"/>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17" fontId="2" fillId="3" borderId="1" xfId="0" quotePrefix="1" applyNumberFormat="1" applyFont="1" applyFill="1" applyBorder="1" applyAlignment="1">
      <alignment horizontal="center"/>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4" fillId="0" borderId="0" xfId="2" applyBorder="1" applyAlignment="1">
      <alignment horizontal="left" vertical="center" wrapText="1"/>
    </xf>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17" fontId="2" fillId="3" borderId="1" xfId="0" quotePrefix="1" applyNumberFormat="1" applyFont="1" applyFill="1" applyBorder="1" applyAlignment="1">
      <alignment horizontal="center" wrapText="1"/>
    </xf>
    <xf numFmtId="0" fontId="7" fillId="2" borderId="0" xfId="0" applyFont="1" applyFill="1" applyAlignment="1">
      <alignment horizontal="left" vertical="center" wrapText="1"/>
    </xf>
    <xf numFmtId="17" fontId="2" fillId="3" borderId="4" xfId="0" quotePrefix="1" applyNumberFormat="1" applyFont="1" applyFill="1" applyBorder="1" applyAlignment="1">
      <alignment horizontal="center"/>
    </xf>
    <xf numFmtId="17" fontId="2" fillId="3" borderId="5" xfId="0" quotePrefix="1" applyNumberFormat="1" applyFont="1" applyFill="1" applyBorder="1" applyAlignment="1">
      <alignment horizontal="center"/>
    </xf>
  </cellXfs>
  <cellStyles count="5">
    <cellStyle name="Hipervínculo" xfId="2" builtinId="8"/>
    <cellStyle name="Millares" xfId="1" builtinId="3"/>
    <cellStyle name="Millares 2" xfId="3" xr:uid="{00000000-0005-0000-0000-000002000000}"/>
    <cellStyle name="Normal" xfId="0" builtinId="0"/>
    <cellStyle name="TableStyleLight1" xfId="4" xr:uid="{00000000-0005-0000-0000-00000400000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12"/>
  <sheetViews>
    <sheetView tabSelected="1" workbookViewId="0">
      <selection activeCell="F20" sqref="F20"/>
    </sheetView>
  </sheetViews>
  <sheetFormatPr baseColWidth="10" defaultColWidth="11.5546875" defaultRowHeight="14.4" x14ac:dyDescent="0.3"/>
  <cols>
    <col min="1" max="1" width="11.5546875" style="1"/>
    <col min="2" max="2" width="4.6640625" style="1" customWidth="1"/>
    <col min="3" max="6" width="11.5546875" style="1"/>
    <col min="7" max="7" width="20" style="1" customWidth="1"/>
    <col min="8" max="8" width="13.5546875" style="1" customWidth="1"/>
    <col min="9" max="16384" width="11.5546875" style="1"/>
  </cols>
  <sheetData>
    <row r="3" spans="2:8" ht="15" customHeight="1" x14ac:dyDescent="0.3">
      <c r="G3" s="82" t="s">
        <v>124</v>
      </c>
      <c r="H3" s="82"/>
    </row>
    <row r="4" spans="2:8" ht="15" customHeight="1" x14ac:dyDescent="0.3">
      <c r="G4" s="82"/>
      <c r="H4" s="82"/>
    </row>
    <row r="5" spans="2:8" ht="15" customHeight="1" x14ac:dyDescent="0.3">
      <c r="G5" s="82"/>
      <c r="H5" s="82"/>
    </row>
    <row r="6" spans="2:8" ht="22.5" customHeight="1" x14ac:dyDescent="0.3">
      <c r="G6" s="82"/>
      <c r="H6" s="82"/>
    </row>
    <row r="7" spans="2:8" ht="15" customHeight="1" x14ac:dyDescent="0.3">
      <c r="G7" s="82"/>
      <c r="H7" s="82"/>
    </row>
    <row r="8" spans="2:8" ht="18" x14ac:dyDescent="0.35">
      <c r="B8" s="79" t="s">
        <v>36</v>
      </c>
      <c r="C8" s="79"/>
      <c r="D8" s="79"/>
      <c r="E8" s="79"/>
      <c r="F8" s="79"/>
      <c r="G8" s="79"/>
      <c r="H8" s="79"/>
    </row>
    <row r="10" spans="2:8" x14ac:dyDescent="0.3">
      <c r="B10" s="3" t="s">
        <v>37</v>
      </c>
      <c r="C10" s="80" t="s">
        <v>17</v>
      </c>
      <c r="D10" s="80"/>
      <c r="E10" s="80"/>
      <c r="F10" s="80"/>
      <c r="G10" s="80"/>
      <c r="H10" s="80"/>
    </row>
    <row r="11" spans="2:8" x14ac:dyDescent="0.3">
      <c r="B11" s="2"/>
    </row>
    <row r="12" spans="2:8" x14ac:dyDescent="0.3">
      <c r="B12" s="4" t="s">
        <v>38</v>
      </c>
      <c r="C12" s="81" t="s">
        <v>18</v>
      </c>
      <c r="D12" s="81"/>
      <c r="E12" s="81"/>
      <c r="F12" s="81"/>
      <c r="G12" s="81"/>
      <c r="H12" s="81"/>
    </row>
  </sheetData>
  <mergeCells count="4">
    <mergeCell ref="B8:H8"/>
    <mergeCell ref="C10:H10"/>
    <mergeCell ref="C12:H12"/>
    <mergeCell ref="G3:H7"/>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FE73"/>
  <sheetViews>
    <sheetView showGridLines="0" zoomScale="90" zoomScaleNormal="90" workbookViewId="0">
      <pane xSplit="3" ySplit="10" topLeftCell="FB11" activePane="bottomRight" state="frozen"/>
      <selection pane="topRight" activeCell="D1" sqref="D1"/>
      <selection pane="bottomLeft" activeCell="A11" sqref="A11"/>
      <selection pane="bottomRight" activeCell="FE23" sqref="FE23"/>
    </sheetView>
  </sheetViews>
  <sheetFormatPr baseColWidth="10" defaultColWidth="11.5546875" defaultRowHeight="14.4" x14ac:dyDescent="0.3"/>
  <cols>
    <col min="1" max="1" width="2.109375" customWidth="1"/>
    <col min="2" max="2" width="5.109375" customWidth="1"/>
    <col min="3" max="3" width="32.44140625" customWidth="1"/>
    <col min="4" max="33" width="12.33203125" bestFit="1" customWidth="1"/>
    <col min="34" max="47" width="14.109375" bestFit="1" customWidth="1"/>
    <col min="48" max="64" width="12.44140625" customWidth="1"/>
    <col min="65" max="65" width="14.44140625" customWidth="1"/>
    <col min="66" max="66" width="14.6640625" bestFit="1" customWidth="1"/>
    <col min="67" max="67" width="14.44140625" customWidth="1"/>
    <col min="68" max="69" width="14.6640625" bestFit="1" customWidth="1"/>
    <col min="70" max="74" width="14.44140625" customWidth="1"/>
    <col min="75" max="77" width="14.6640625" bestFit="1" customWidth="1"/>
    <col min="78" max="83" width="14.44140625" customWidth="1"/>
    <col min="84" max="85" width="14.6640625" bestFit="1" customWidth="1"/>
    <col min="86" max="95" width="14.44140625" customWidth="1"/>
    <col min="96" max="98" width="15.109375" customWidth="1"/>
    <col min="99" max="100" width="17" customWidth="1"/>
    <col min="101" max="101" width="16.33203125" customWidth="1"/>
    <col min="102" max="102" width="14.88671875" bestFit="1" customWidth="1"/>
    <col min="103" max="103" width="15.6640625" customWidth="1"/>
    <col min="104" max="104" width="14.88671875" bestFit="1" customWidth="1"/>
    <col min="105" max="105" width="15.6640625" bestFit="1" customWidth="1"/>
    <col min="106" max="107" width="19" bestFit="1" customWidth="1"/>
    <col min="108" max="108" width="17.6640625" customWidth="1"/>
    <col min="109" max="110" width="19" bestFit="1" customWidth="1"/>
    <col min="111" max="111" width="17.5546875" customWidth="1"/>
    <col min="112" max="112" width="17.6640625" customWidth="1"/>
    <col min="113" max="113" width="16.5546875" customWidth="1"/>
    <col min="114" max="114" width="19.33203125" customWidth="1"/>
    <col min="115" max="115" width="16.88671875" customWidth="1"/>
    <col min="116" max="122" width="14.88671875" bestFit="1" customWidth="1"/>
    <col min="123" max="123" width="15.109375" customWidth="1"/>
    <col min="124" max="124" width="15.6640625" customWidth="1"/>
    <col min="125" max="125" width="15" customWidth="1"/>
    <col min="126" max="126" width="16.33203125" customWidth="1"/>
    <col min="127" max="127" width="14.6640625" customWidth="1"/>
    <col min="128" max="128" width="15.33203125" customWidth="1"/>
    <col min="129" max="129" width="17.88671875" customWidth="1"/>
    <col min="130" max="134" width="16.33203125" customWidth="1"/>
    <col min="135" max="136" width="14.6640625" bestFit="1" customWidth="1"/>
    <col min="137" max="137" width="14.6640625" customWidth="1"/>
    <col min="138" max="140" width="14.6640625" bestFit="1" customWidth="1"/>
    <col min="141" max="144" width="15.5546875" customWidth="1"/>
    <col min="145" max="145" width="15" customWidth="1"/>
    <col min="146" max="149" width="14.77734375" bestFit="1" customWidth="1"/>
    <col min="150" max="161" width="14.6640625" customWidth="1"/>
  </cols>
  <sheetData>
    <row r="1" spans="2:161" ht="4.5" customHeight="1" x14ac:dyDescent="0.3"/>
    <row r="2" spans="2:161" s="20" customFormat="1" x14ac:dyDescent="0.3"/>
    <row r="3" spans="2:161" x14ac:dyDescent="0.3">
      <c r="B3" s="46"/>
      <c r="C3" s="46"/>
      <c r="E3" s="46" t="s">
        <v>16</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row>
    <row r="4" spans="2:161" x14ac:dyDescent="0.3">
      <c r="B4" s="46"/>
      <c r="C4" s="46"/>
      <c r="D4" s="21" t="s">
        <v>118</v>
      </c>
      <c r="E4" s="21"/>
      <c r="F4" s="21"/>
      <c r="G4" s="21"/>
      <c r="H4" s="21"/>
      <c r="I4" s="21"/>
      <c r="J4" s="21"/>
      <c r="K4" s="21"/>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row>
    <row r="5" spans="2:161" x14ac:dyDescent="0.3">
      <c r="D5" s="77" t="s">
        <v>125</v>
      </c>
      <c r="E5" s="77"/>
      <c r="F5" s="77"/>
      <c r="G5" s="77"/>
      <c r="H5" s="77"/>
      <c r="I5" s="77"/>
      <c r="J5" s="77"/>
      <c r="K5" s="77"/>
      <c r="L5" s="77"/>
    </row>
    <row r="6" spans="2:161" x14ac:dyDescent="0.3">
      <c r="D6" s="77" t="s">
        <v>34</v>
      </c>
      <c r="E6" s="77"/>
      <c r="F6" s="77"/>
      <c r="G6" s="77"/>
      <c r="H6" s="77"/>
      <c r="I6" s="77"/>
      <c r="J6" s="77"/>
      <c r="K6" s="77"/>
      <c r="L6" s="77"/>
      <c r="AV6" s="11"/>
      <c r="AW6" s="11"/>
      <c r="AX6" s="11"/>
    </row>
    <row r="7" spans="2:161" x14ac:dyDescent="0.3">
      <c r="D7" s="78" t="s">
        <v>19</v>
      </c>
      <c r="E7" s="78"/>
      <c r="F7" s="42"/>
      <c r="G7" s="42"/>
      <c r="H7" s="42"/>
      <c r="I7" s="42"/>
      <c r="J7" s="42"/>
      <c r="K7" s="42"/>
    </row>
    <row r="8" spans="2:161" x14ac:dyDescent="0.3">
      <c r="J8" s="47"/>
    </row>
    <row r="9" spans="2:161" x14ac:dyDescent="0.3">
      <c r="D9" s="70" t="s">
        <v>6</v>
      </c>
      <c r="E9" s="70"/>
      <c r="F9" s="70"/>
      <c r="G9" s="70"/>
      <c r="H9" s="70"/>
      <c r="I9" s="70"/>
      <c r="J9" s="70"/>
      <c r="K9" s="70"/>
      <c r="L9" s="70"/>
      <c r="M9" s="70"/>
      <c r="N9" s="70"/>
      <c r="O9" s="70"/>
      <c r="P9" s="70" t="s">
        <v>13</v>
      </c>
      <c r="Q9" s="70"/>
      <c r="R9" s="70"/>
      <c r="S9" s="70"/>
      <c r="T9" s="70"/>
      <c r="U9" s="70"/>
      <c r="V9" s="70"/>
      <c r="W9" s="70"/>
      <c r="X9" s="70"/>
      <c r="Y9" s="70"/>
      <c r="Z9" s="70"/>
      <c r="AA9" s="70"/>
      <c r="AB9" s="70" t="s">
        <v>14</v>
      </c>
      <c r="AC9" s="70"/>
      <c r="AD9" s="70"/>
      <c r="AE9" s="70"/>
      <c r="AF9" s="70"/>
      <c r="AG9" s="70"/>
      <c r="AH9" s="70"/>
      <c r="AI9" s="70"/>
      <c r="AJ9" s="70"/>
      <c r="AK9" s="70"/>
      <c r="AL9" s="70"/>
      <c r="AM9" s="70"/>
      <c r="AN9" s="70" t="s">
        <v>15</v>
      </c>
      <c r="AO9" s="70"/>
      <c r="AP9" s="70"/>
      <c r="AQ9" s="70"/>
      <c r="AR9" s="70"/>
      <c r="AS9" s="70"/>
      <c r="AT9" s="70"/>
      <c r="AU9" s="70"/>
      <c r="AV9" s="70"/>
      <c r="AW9" s="70"/>
      <c r="AX9" s="70"/>
      <c r="AY9" s="70"/>
      <c r="AZ9" s="70" t="s">
        <v>67</v>
      </c>
      <c r="BA9" s="70"/>
      <c r="BB9" s="70"/>
      <c r="BC9" s="70"/>
      <c r="BD9" s="70"/>
      <c r="BE9" s="70"/>
      <c r="BF9" s="70"/>
      <c r="BG9" s="70"/>
      <c r="BH9" s="70"/>
      <c r="BI9" s="70"/>
      <c r="BJ9" s="70"/>
      <c r="BK9" s="70"/>
      <c r="BL9" s="70" t="s">
        <v>84</v>
      </c>
      <c r="BM9" s="70"/>
      <c r="BN9" s="70"/>
      <c r="BO9" s="70"/>
      <c r="BP9" s="70"/>
      <c r="BQ9" s="70"/>
      <c r="BR9" s="70"/>
      <c r="BS9" s="70"/>
      <c r="BT9" s="70"/>
      <c r="BU9" s="70"/>
      <c r="BV9" s="70"/>
      <c r="BW9" s="70"/>
      <c r="BX9" s="69" t="s">
        <v>87</v>
      </c>
      <c r="BY9" s="69"/>
      <c r="BZ9" s="69"/>
      <c r="CA9" s="69"/>
      <c r="CB9" s="69"/>
      <c r="CC9" s="69"/>
      <c r="CD9" s="69"/>
      <c r="CE9" s="69"/>
      <c r="CF9" s="69"/>
      <c r="CG9" s="69"/>
      <c r="CH9" s="69"/>
      <c r="CI9" s="69"/>
      <c r="CJ9" s="83" t="s">
        <v>93</v>
      </c>
      <c r="CK9" s="83"/>
      <c r="CL9" s="83"/>
      <c r="CM9" s="83"/>
      <c r="CN9" s="83"/>
      <c r="CO9" s="83"/>
      <c r="CP9" s="83"/>
      <c r="CQ9" s="83"/>
      <c r="CR9" s="83"/>
      <c r="CS9" s="83"/>
      <c r="CT9" s="83"/>
      <c r="CU9" s="83"/>
      <c r="CV9" s="71" t="s">
        <v>107</v>
      </c>
      <c r="CW9" s="72"/>
      <c r="CX9" s="72"/>
      <c r="CY9" s="72"/>
      <c r="CZ9" s="72"/>
      <c r="DA9" s="72"/>
      <c r="DB9" s="72"/>
      <c r="DC9" s="72"/>
      <c r="DD9" s="72"/>
      <c r="DE9" s="72"/>
      <c r="DF9" s="72"/>
      <c r="DG9" s="72"/>
      <c r="DH9" s="71" t="s">
        <v>116</v>
      </c>
      <c r="DI9" s="72"/>
      <c r="DJ9" s="72"/>
      <c r="DK9" s="72"/>
      <c r="DL9" s="72"/>
      <c r="DM9" s="72"/>
      <c r="DN9" s="72"/>
      <c r="DO9" s="72"/>
      <c r="DP9" s="72"/>
      <c r="DQ9" s="72"/>
      <c r="DR9" s="72"/>
      <c r="DS9" s="72"/>
      <c r="DT9" s="74" t="s">
        <v>119</v>
      </c>
      <c r="DU9" s="75"/>
      <c r="DV9" s="75"/>
      <c r="DW9" s="75"/>
      <c r="DX9" s="75"/>
      <c r="DY9" s="75"/>
      <c r="DZ9" s="75"/>
      <c r="EA9" s="75"/>
      <c r="EB9" s="75"/>
      <c r="EC9" s="75"/>
      <c r="ED9" s="75"/>
      <c r="EE9" s="75"/>
      <c r="EF9" s="74" t="s">
        <v>120</v>
      </c>
      <c r="EG9" s="75"/>
      <c r="EH9" s="75"/>
      <c r="EI9" s="75"/>
      <c r="EJ9" s="75"/>
      <c r="EK9" s="75"/>
      <c r="EL9" s="75"/>
      <c r="EM9" s="75"/>
      <c r="EN9" s="75"/>
      <c r="EO9" s="75"/>
      <c r="EP9" s="75"/>
      <c r="EQ9" s="75"/>
      <c r="ER9" s="74" t="s">
        <v>123</v>
      </c>
      <c r="ES9" s="75"/>
      <c r="ET9" s="75"/>
      <c r="EU9" s="75"/>
      <c r="EV9" s="75"/>
      <c r="EW9" s="75"/>
      <c r="EX9" s="75"/>
      <c r="EY9" s="75"/>
      <c r="EZ9" s="75"/>
      <c r="FA9" s="75"/>
      <c r="FB9" s="75"/>
      <c r="FC9" s="75"/>
      <c r="FD9" s="85" t="s">
        <v>126</v>
      </c>
      <c r="FE9" s="86"/>
    </row>
    <row r="10" spans="2:161" ht="16.2" x14ac:dyDescent="0.3">
      <c r="B10" s="10"/>
      <c r="C10" s="10"/>
      <c r="D10" s="43" t="s">
        <v>41</v>
      </c>
      <c r="E10" s="43" t="s">
        <v>42</v>
      </c>
      <c r="F10" s="43" t="s">
        <v>43</v>
      </c>
      <c r="G10" s="43" t="s">
        <v>44</v>
      </c>
      <c r="H10" s="43" t="s">
        <v>45</v>
      </c>
      <c r="I10" s="43" t="s">
        <v>46</v>
      </c>
      <c r="J10" s="43" t="s">
        <v>47</v>
      </c>
      <c r="K10" s="43" t="s">
        <v>48</v>
      </c>
      <c r="L10" s="43" t="s">
        <v>49</v>
      </c>
      <c r="M10" s="43" t="s">
        <v>50</v>
      </c>
      <c r="N10" s="43" t="s">
        <v>51</v>
      </c>
      <c r="O10" s="43" t="s">
        <v>52</v>
      </c>
      <c r="P10" s="43" t="s">
        <v>41</v>
      </c>
      <c r="Q10" s="43" t="s">
        <v>42</v>
      </c>
      <c r="R10" s="43" t="s">
        <v>43</v>
      </c>
      <c r="S10" s="43" t="s">
        <v>44</v>
      </c>
      <c r="T10" s="43" t="s">
        <v>45</v>
      </c>
      <c r="U10" s="43" t="s">
        <v>46</v>
      </c>
      <c r="V10" s="43" t="s">
        <v>47</v>
      </c>
      <c r="W10" s="43" t="s">
        <v>48</v>
      </c>
      <c r="X10" s="43" t="s">
        <v>49</v>
      </c>
      <c r="Y10" s="43" t="s">
        <v>50</v>
      </c>
      <c r="Z10" s="43" t="s">
        <v>51</v>
      </c>
      <c r="AA10" s="43" t="s">
        <v>52</v>
      </c>
      <c r="AB10" s="43" t="s">
        <v>41</v>
      </c>
      <c r="AC10" s="43" t="s">
        <v>42</v>
      </c>
      <c r="AD10" s="43" t="s">
        <v>43</v>
      </c>
      <c r="AE10" s="43" t="s">
        <v>44</v>
      </c>
      <c r="AF10" s="43" t="s">
        <v>45</v>
      </c>
      <c r="AG10" s="43" t="s">
        <v>46</v>
      </c>
      <c r="AH10" s="43" t="s">
        <v>47</v>
      </c>
      <c r="AI10" s="43" t="s">
        <v>48</v>
      </c>
      <c r="AJ10" s="43" t="s">
        <v>49</v>
      </c>
      <c r="AK10" s="43" t="s">
        <v>50</v>
      </c>
      <c r="AL10" s="43" t="s">
        <v>51</v>
      </c>
      <c r="AM10" s="43" t="s">
        <v>52</v>
      </c>
      <c r="AN10" s="43" t="s">
        <v>10</v>
      </c>
      <c r="AO10" s="43" t="s">
        <v>0</v>
      </c>
      <c r="AP10" s="43" t="s">
        <v>7</v>
      </c>
      <c r="AQ10" s="43" t="s">
        <v>8</v>
      </c>
      <c r="AR10" s="43" t="s">
        <v>9</v>
      </c>
      <c r="AS10" s="43" t="s">
        <v>11</v>
      </c>
      <c r="AT10" s="43" t="s">
        <v>54</v>
      </c>
      <c r="AU10" s="43" t="s">
        <v>12</v>
      </c>
      <c r="AV10" s="43" t="s">
        <v>2</v>
      </c>
      <c r="AW10" s="43" t="s">
        <v>3</v>
      </c>
      <c r="AX10" s="43" t="s">
        <v>4</v>
      </c>
      <c r="AY10" s="45" t="s">
        <v>73</v>
      </c>
      <c r="AZ10" s="45" t="s">
        <v>10</v>
      </c>
      <c r="BA10" s="45" t="s">
        <v>0</v>
      </c>
      <c r="BB10" s="45" t="s">
        <v>7</v>
      </c>
      <c r="BC10" s="45" t="s">
        <v>8</v>
      </c>
      <c r="BD10" s="45" t="s">
        <v>76</v>
      </c>
      <c r="BE10" s="45" t="s">
        <v>53</v>
      </c>
      <c r="BF10" s="45" t="s">
        <v>1</v>
      </c>
      <c r="BG10" s="45" t="s">
        <v>12</v>
      </c>
      <c r="BH10" s="45" t="s">
        <v>2</v>
      </c>
      <c r="BI10" s="45" t="s">
        <v>3</v>
      </c>
      <c r="BJ10" s="45" t="s">
        <v>4</v>
      </c>
      <c r="BK10" s="45" t="s">
        <v>80</v>
      </c>
      <c r="BL10" s="45" t="s">
        <v>10</v>
      </c>
      <c r="BM10" s="45" t="s">
        <v>0</v>
      </c>
      <c r="BN10" s="45" t="s">
        <v>7</v>
      </c>
      <c r="BO10" s="45" t="s">
        <v>8</v>
      </c>
      <c r="BP10" s="45" t="s">
        <v>9</v>
      </c>
      <c r="BQ10" s="45" t="s">
        <v>11</v>
      </c>
      <c r="BR10" s="45" t="s">
        <v>1</v>
      </c>
      <c r="BS10" s="45" t="s">
        <v>12</v>
      </c>
      <c r="BT10" s="45" t="s">
        <v>2</v>
      </c>
      <c r="BU10" s="45" t="s">
        <v>3</v>
      </c>
      <c r="BV10" s="45" t="s">
        <v>4</v>
      </c>
      <c r="BW10" s="45" t="s">
        <v>5</v>
      </c>
      <c r="BX10" s="45" t="s">
        <v>10</v>
      </c>
      <c r="BY10" s="45" t="s">
        <v>0</v>
      </c>
      <c r="BZ10" s="45" t="s">
        <v>7</v>
      </c>
      <c r="CA10" s="45" t="s">
        <v>8</v>
      </c>
      <c r="CB10" s="45" t="s">
        <v>9</v>
      </c>
      <c r="CC10" s="45" t="s">
        <v>11</v>
      </c>
      <c r="CD10" s="45" t="s">
        <v>1</v>
      </c>
      <c r="CE10" s="45" t="s">
        <v>12</v>
      </c>
      <c r="CF10" s="45" t="s">
        <v>2</v>
      </c>
      <c r="CG10" s="45" t="s">
        <v>3</v>
      </c>
      <c r="CH10" s="45" t="s">
        <v>4</v>
      </c>
      <c r="CI10" s="45" t="s">
        <v>5</v>
      </c>
      <c r="CJ10" s="45" t="s">
        <v>10</v>
      </c>
      <c r="CK10" s="45" t="s">
        <v>0</v>
      </c>
      <c r="CL10" s="45" t="s">
        <v>7</v>
      </c>
      <c r="CM10" s="45" t="s">
        <v>100</v>
      </c>
      <c r="CN10" s="45" t="s">
        <v>99</v>
      </c>
      <c r="CO10" s="45" t="s">
        <v>11</v>
      </c>
      <c r="CP10" s="45" t="s">
        <v>1</v>
      </c>
      <c r="CQ10" s="45" t="s">
        <v>102</v>
      </c>
      <c r="CR10" s="45" t="s">
        <v>2</v>
      </c>
      <c r="CS10" s="45" t="s">
        <v>104</v>
      </c>
      <c r="CT10" s="45" t="s">
        <v>4</v>
      </c>
      <c r="CU10" s="45" t="s">
        <v>5</v>
      </c>
      <c r="CV10" s="45" t="s">
        <v>106</v>
      </c>
      <c r="CW10" s="45" t="s">
        <v>108</v>
      </c>
      <c r="CX10" s="45" t="s">
        <v>110</v>
      </c>
      <c r="CY10" s="45" t="s">
        <v>113</v>
      </c>
      <c r="CZ10" s="45" t="s">
        <v>9</v>
      </c>
      <c r="DA10" s="45" t="s">
        <v>11</v>
      </c>
      <c r="DB10" s="45" t="s">
        <v>1</v>
      </c>
      <c r="DC10" s="45" t="s">
        <v>12</v>
      </c>
      <c r="DD10" s="45" t="s">
        <v>2</v>
      </c>
      <c r="DE10" s="45" t="s">
        <v>115</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c r="EV10" s="45" t="s">
        <v>9</v>
      </c>
      <c r="EW10" s="45" t="s">
        <v>11</v>
      </c>
      <c r="EX10" s="45" t="s">
        <v>1</v>
      </c>
      <c r="EY10" s="45" t="s">
        <v>12</v>
      </c>
      <c r="EZ10" s="45" t="s">
        <v>2</v>
      </c>
      <c r="FA10" s="45" t="s">
        <v>3</v>
      </c>
      <c r="FB10" s="45" t="s">
        <v>4</v>
      </c>
      <c r="FC10" s="45" t="s">
        <v>5</v>
      </c>
      <c r="FD10" s="45" t="s">
        <v>10</v>
      </c>
      <c r="FE10" s="45" t="s">
        <v>0</v>
      </c>
    </row>
    <row r="11" spans="2:161" x14ac:dyDescent="0.3">
      <c r="B11" s="27">
        <v>1</v>
      </c>
      <c r="C11" s="28" t="s">
        <v>20</v>
      </c>
      <c r="D11" s="48">
        <v>636435.14507999993</v>
      </c>
      <c r="E11" s="48">
        <v>651443.48765000002</v>
      </c>
      <c r="F11" s="48">
        <v>665837.30559</v>
      </c>
      <c r="G11" s="48">
        <v>680717.65462000004</v>
      </c>
      <c r="H11" s="48">
        <v>695180.48152999999</v>
      </c>
      <c r="I11" s="48">
        <v>709810.73713999998</v>
      </c>
      <c r="J11" s="48">
        <v>724477.30945000006</v>
      </c>
      <c r="K11" s="48">
        <v>739242.08759000001</v>
      </c>
      <c r="L11" s="48">
        <v>754121.22584000009</v>
      </c>
      <c r="M11" s="48">
        <v>769171.77506999997</v>
      </c>
      <c r="N11" s="48">
        <v>783159.57817999995</v>
      </c>
      <c r="O11" s="48">
        <v>795749.99976999999</v>
      </c>
      <c r="P11" s="48">
        <v>811730.34299999999</v>
      </c>
      <c r="Q11" s="48">
        <v>828660.7220200001</v>
      </c>
      <c r="R11" s="48">
        <v>768056.9124899999</v>
      </c>
      <c r="S11" s="48">
        <v>783463.96006000007</v>
      </c>
      <c r="T11" s="48">
        <v>797083.79955</v>
      </c>
      <c r="U11" s="48">
        <v>798518.66322999995</v>
      </c>
      <c r="V11" s="48">
        <v>799913.42927999992</v>
      </c>
      <c r="W11" s="48">
        <v>841492.91809000005</v>
      </c>
      <c r="X11" s="48">
        <v>842846.64267000009</v>
      </c>
      <c r="Y11" s="48">
        <v>871560.75478000008</v>
      </c>
      <c r="Z11" s="48">
        <v>886787.64746000001</v>
      </c>
      <c r="AA11" s="48">
        <v>902411.81455000001</v>
      </c>
      <c r="AB11" s="48">
        <v>923467.52627999999</v>
      </c>
      <c r="AC11" s="48">
        <v>925014.45889000001</v>
      </c>
      <c r="AD11" s="48">
        <v>950392.83270999999</v>
      </c>
      <c r="AE11" s="48">
        <v>966851.45559999987</v>
      </c>
      <c r="AF11" s="48">
        <v>982878.39644999988</v>
      </c>
      <c r="AG11" s="48">
        <v>998510.68111</v>
      </c>
      <c r="AH11" s="48">
        <v>1014031.43743</v>
      </c>
      <c r="AI11" s="48">
        <v>1029436.1723000001</v>
      </c>
      <c r="AJ11" s="48">
        <v>1044331.43273</v>
      </c>
      <c r="AK11" s="48">
        <v>1059447.3496099999</v>
      </c>
      <c r="AL11" s="48">
        <v>1074241.9699600001</v>
      </c>
      <c r="AM11" s="48">
        <v>1089164.0474200002</v>
      </c>
      <c r="AN11" s="48">
        <v>1103960.7059599999</v>
      </c>
      <c r="AO11" s="48">
        <v>1118847.7017000001</v>
      </c>
      <c r="AP11" s="48">
        <v>1133986.6404499998</v>
      </c>
      <c r="AQ11" s="48">
        <v>1148931.5014099998</v>
      </c>
      <c r="AR11" s="48">
        <v>1164347.5440400001</v>
      </c>
      <c r="AS11" s="48">
        <v>1179449.0116499998</v>
      </c>
      <c r="AT11" s="48">
        <v>1194630.2210200001</v>
      </c>
      <c r="AU11" s="48">
        <v>1179531.9924600001</v>
      </c>
      <c r="AV11" s="48">
        <f>+SUM(AV12:AV14)</f>
        <v>1194551.8299700001</v>
      </c>
      <c r="AW11" s="48">
        <f>+SUM(AW12:AW14)</f>
        <v>1209838.5172600001</v>
      </c>
      <c r="AX11" s="48">
        <f>+SUM(AX12:AX14)</f>
        <v>1225577.43805</v>
      </c>
      <c r="AY11" s="48">
        <f>+SUM(AY12:AY14)</f>
        <v>1197800.3924400001</v>
      </c>
      <c r="AZ11" s="48">
        <f>+SUM(AZ12:AZ14)</f>
        <v>1213442.0610199999</v>
      </c>
      <c r="BA11" s="48">
        <v>1229444.6391299998</v>
      </c>
      <c r="BB11" s="48">
        <v>1245360.7330999998</v>
      </c>
      <c r="BC11" s="48">
        <v>1262584.4959699998</v>
      </c>
      <c r="BD11" s="48">
        <v>1279937.51254</v>
      </c>
      <c r="BE11" s="48">
        <v>1296008.8001900001</v>
      </c>
      <c r="BF11" s="48">
        <v>1312274.5456300001</v>
      </c>
      <c r="BG11" s="48">
        <v>1328385.45297</v>
      </c>
      <c r="BH11" s="48">
        <v>1342944.1030899999</v>
      </c>
      <c r="BI11" s="48">
        <v>1360663.9186799999</v>
      </c>
      <c r="BJ11" s="48">
        <v>1376805.8597899999</v>
      </c>
      <c r="BK11" s="48">
        <v>1393225.2643900001</v>
      </c>
      <c r="BL11" s="48">
        <v>1410237.4894400002</v>
      </c>
      <c r="BM11" s="22">
        <v>1411955.8651700001</v>
      </c>
      <c r="BN11" s="22">
        <v>1444069.6809400001</v>
      </c>
      <c r="BO11" s="22">
        <v>1461313.58042</v>
      </c>
      <c r="BP11" s="22">
        <v>1478656.3438599999</v>
      </c>
      <c r="BQ11" s="22">
        <v>1495840.7882800002</v>
      </c>
      <c r="BR11" s="22">
        <v>1513048.9860499999</v>
      </c>
      <c r="BS11" s="22">
        <v>1532223.58503</v>
      </c>
      <c r="BT11" s="22">
        <v>1549502.0656700002</v>
      </c>
      <c r="BU11" s="22">
        <v>1566925.2701000001</v>
      </c>
      <c r="BV11" s="22">
        <v>1569260.7803900002</v>
      </c>
      <c r="BW11" s="22">
        <v>1601745.4601299998</v>
      </c>
      <c r="BX11" s="22">
        <v>1619834.0215400001</v>
      </c>
      <c r="BY11" s="22">
        <v>1637664.57708</v>
      </c>
      <c r="BZ11" s="22">
        <v>1655935.1717600001</v>
      </c>
      <c r="CA11" s="22">
        <v>1674575.49086</v>
      </c>
      <c r="CB11" s="22">
        <v>1693549.4158899998</v>
      </c>
      <c r="CC11" s="22">
        <v>1712221.4358099999</v>
      </c>
      <c r="CD11" s="22">
        <v>1731301.1301</v>
      </c>
      <c r="CE11" s="22">
        <v>1750400.0898899999</v>
      </c>
      <c r="CF11" s="22">
        <v>1769607.1617900003</v>
      </c>
      <c r="CG11" s="22">
        <v>1788866.5146700002</v>
      </c>
      <c r="CH11" s="22">
        <v>1808389.2468300001</v>
      </c>
      <c r="CI11" s="22">
        <v>1828012.2525899999</v>
      </c>
      <c r="CJ11" s="22">
        <v>1831676.1474200001</v>
      </c>
      <c r="CK11" s="22">
        <v>1868602.3808199998</v>
      </c>
      <c r="CL11" s="22">
        <v>1889258.61063</v>
      </c>
      <c r="CM11" s="22">
        <v>1892867.0568599999</v>
      </c>
      <c r="CN11" s="22">
        <v>1896613.76088</v>
      </c>
      <c r="CO11" s="22">
        <v>1900274.9823999999</v>
      </c>
      <c r="CP11" s="22">
        <v>1971267.99235</v>
      </c>
      <c r="CQ11" s="22">
        <v>1991946.6883999999</v>
      </c>
      <c r="CR11" s="22">
        <v>2012785.7575719999</v>
      </c>
      <c r="CS11" s="22">
        <v>2033976.0169199998</v>
      </c>
      <c r="CT11" s="22">
        <v>2055305.09828</v>
      </c>
      <c r="CU11" s="22">
        <v>2076820.70086</v>
      </c>
      <c r="CV11" s="22">
        <v>2080456.9822199999</v>
      </c>
      <c r="CW11" s="22">
        <v>2083863.35415</v>
      </c>
      <c r="CX11" s="22">
        <v>2087518.98447</v>
      </c>
      <c r="CY11" s="22">
        <f>2137932366.08/1000</f>
        <v>2137932.3660800001</v>
      </c>
      <c r="CZ11" s="22">
        <f>2178880288.68/1000</f>
        <v>2178880.2886799998</v>
      </c>
      <c r="DA11" s="22">
        <f>2202939304.09/1000</f>
        <v>2202939.3040900002</v>
      </c>
      <c r="DB11" s="22">
        <v>2208951.0135500003</v>
      </c>
      <c r="DC11" s="22">
        <f>2254050701.72/1000</f>
        <v>2254050.7017199998</v>
      </c>
      <c r="DD11" s="22">
        <f>2279051853.62/1000</f>
        <v>2279051.8536199997</v>
      </c>
      <c r="DE11" s="22">
        <f>2284210557.07/1000</f>
        <v>2284210.5570700001</v>
      </c>
      <c r="DF11" s="22">
        <v>2328175.7913099998</v>
      </c>
      <c r="DG11" s="22">
        <f>2353587111.45/1000</f>
        <v>2353587.1114499997</v>
      </c>
      <c r="DH11" s="22">
        <v>2378997.7889700001</v>
      </c>
      <c r="DI11" s="22">
        <v>2404937.0775600001</v>
      </c>
      <c r="DJ11" s="22">
        <v>2431020.62255</v>
      </c>
      <c r="DK11" s="22">
        <v>2455594.3045499995</v>
      </c>
      <c r="DL11" s="22">
        <v>2465809.0337899993</v>
      </c>
      <c r="DM11" s="22">
        <v>2501317.3745500003</v>
      </c>
      <c r="DN11" s="22">
        <v>2528686.0129799997</v>
      </c>
      <c r="DO11" s="22">
        <v>2554005.3102100003</v>
      </c>
      <c r="DP11" s="22">
        <v>2580797.0732199997</v>
      </c>
      <c r="DQ11" s="22">
        <v>2583546.1749</v>
      </c>
      <c r="DR11" s="22">
        <v>2593548.1364099998</v>
      </c>
      <c r="DS11" s="22">
        <v>2604814.4384600003</v>
      </c>
      <c r="DT11" s="22">
        <v>2617290.8676000005</v>
      </c>
      <c r="DU11" s="22">
        <v>2630174.9015600006</v>
      </c>
      <c r="DV11" s="22">
        <v>2645764.7163400003</v>
      </c>
      <c r="DW11" s="22">
        <v>2659433.3256899994</v>
      </c>
      <c r="DX11" s="22">
        <v>2673229.84834</v>
      </c>
      <c r="DY11" s="22">
        <f>2686641019.7/1000</f>
        <v>2686641.0196999996</v>
      </c>
      <c r="DZ11" s="22">
        <v>2700393.2735000001</v>
      </c>
      <c r="EA11" s="22">
        <v>2703866.6527000004</v>
      </c>
      <c r="EB11" s="22">
        <v>2715195.0645999997</v>
      </c>
      <c r="EC11" s="22">
        <v>2729287.92441</v>
      </c>
      <c r="ED11" s="22">
        <v>2742477.1136000003</v>
      </c>
      <c r="EE11" s="22">
        <v>2754159.0456400001</v>
      </c>
      <c r="EF11" s="22">
        <v>2767086.3278000001</v>
      </c>
      <c r="EG11" s="22">
        <v>2779207.27092</v>
      </c>
      <c r="EH11" s="22">
        <v>2785653.5483000004</v>
      </c>
      <c r="EI11" s="22">
        <v>2798410.8583899997</v>
      </c>
      <c r="EJ11" s="22">
        <v>2812052.6360200001</v>
      </c>
      <c r="EK11" s="22">
        <v>2824573.3469099998</v>
      </c>
      <c r="EL11" s="22">
        <v>2837804.7758800001</v>
      </c>
      <c r="EM11" s="22">
        <v>2854379.9586099996</v>
      </c>
      <c r="EN11" s="22">
        <v>2866527.8138099993</v>
      </c>
      <c r="EO11" s="22">
        <v>2886828.0088299997</v>
      </c>
      <c r="EP11" s="22">
        <v>2901818.8503200002</v>
      </c>
      <c r="EQ11" s="22">
        <v>2918991.8511700002</v>
      </c>
      <c r="ER11" s="22">
        <v>2936078.9699300001</v>
      </c>
      <c r="ES11" s="22">
        <v>2952278.4586600005</v>
      </c>
      <c r="ET11" s="22">
        <v>2969025.9284099997</v>
      </c>
      <c r="EU11" s="22">
        <v>2985823.5647300002</v>
      </c>
      <c r="EV11" s="22">
        <v>2988143.9651899999</v>
      </c>
      <c r="EW11" s="22">
        <v>2999302.0264000003</v>
      </c>
      <c r="EX11" s="22">
        <v>3017153.7724700002</v>
      </c>
      <c r="EY11" s="22">
        <v>3034235.47884</v>
      </c>
      <c r="EZ11" s="22">
        <v>3050249.1312799999</v>
      </c>
      <c r="FA11" s="22">
        <v>3066781.8445600001</v>
      </c>
      <c r="FB11" s="22">
        <v>3084824.5288300002</v>
      </c>
      <c r="FC11" s="22">
        <v>3102980.8173500006</v>
      </c>
      <c r="FD11" s="22">
        <v>3122427.3972499999</v>
      </c>
      <c r="FE11" s="22">
        <v>3140898.4922000002</v>
      </c>
    </row>
    <row r="12" spans="2:161" x14ac:dyDescent="0.3">
      <c r="B12" s="27" t="s">
        <v>21</v>
      </c>
      <c r="C12" s="29" t="s">
        <v>22</v>
      </c>
      <c r="D12" s="49">
        <v>82267.310689999998</v>
      </c>
      <c r="E12" s="49">
        <v>95644.748550000004</v>
      </c>
      <c r="F12" s="49">
        <v>63609.145409999997</v>
      </c>
      <c r="G12" s="49">
        <v>77278.168839999998</v>
      </c>
      <c r="H12" s="49">
        <v>70683.166920000003</v>
      </c>
      <c r="I12" s="49">
        <v>108866.78129000001</v>
      </c>
      <c r="J12" s="49">
        <v>122446.52501000001</v>
      </c>
      <c r="K12" s="49">
        <v>136088.70791</v>
      </c>
      <c r="L12" s="49">
        <v>149885.64587000001</v>
      </c>
      <c r="M12" s="49">
        <v>163950.64999000001</v>
      </c>
      <c r="N12" s="49">
        <v>176754.52502</v>
      </c>
      <c r="O12" s="49">
        <v>153725.35096000001</v>
      </c>
      <c r="P12" s="49">
        <v>168358.64885</v>
      </c>
      <c r="Q12" s="49">
        <v>206544.89812</v>
      </c>
      <c r="R12" s="49">
        <v>164561.08113999999</v>
      </c>
      <c r="S12" s="49">
        <v>178313.57450999998</v>
      </c>
      <c r="T12" s="49">
        <v>146523.53702000002</v>
      </c>
      <c r="U12" s="49">
        <v>131523.43703</v>
      </c>
      <c r="V12" s="49">
        <v>131410.44837999999</v>
      </c>
      <c r="W12" s="49">
        <v>213391.50753</v>
      </c>
      <c r="X12" s="49">
        <v>252155.75652000002</v>
      </c>
      <c r="Y12" s="49">
        <v>244032.14098</v>
      </c>
      <c r="Z12" s="49">
        <v>149875.58807</v>
      </c>
      <c r="AA12" s="49">
        <v>167072.74562999999</v>
      </c>
      <c r="AB12" s="49">
        <v>153478.30375999998</v>
      </c>
      <c r="AC12" s="49">
        <v>153463.48387999999</v>
      </c>
      <c r="AD12" s="49">
        <v>129549.71170999999</v>
      </c>
      <c r="AE12" s="49">
        <v>127297.8238</v>
      </c>
      <c r="AF12" s="49">
        <v>156376.05927999999</v>
      </c>
      <c r="AG12" s="49">
        <v>165295.18136000002</v>
      </c>
      <c r="AH12" s="49">
        <v>168529.39755000002</v>
      </c>
      <c r="AI12" s="49">
        <v>148469.75963999997</v>
      </c>
      <c r="AJ12" s="49">
        <v>164161.15328</v>
      </c>
      <c r="AK12" s="49">
        <v>119198.9458</v>
      </c>
      <c r="AL12" s="49">
        <v>134197.21460000001</v>
      </c>
      <c r="AM12" s="49">
        <v>178984.46734</v>
      </c>
      <c r="AN12" s="49">
        <v>108760.71143000001</v>
      </c>
      <c r="AO12" s="49">
        <v>123925.60193</v>
      </c>
      <c r="AP12" s="49">
        <v>188017.13336000001</v>
      </c>
      <c r="AQ12" s="49">
        <v>226893.73083000001</v>
      </c>
      <c r="AR12" s="49">
        <v>223525.72390000001</v>
      </c>
      <c r="AS12" s="49">
        <v>272652.75477</v>
      </c>
      <c r="AT12" s="49">
        <v>322877.88308999996</v>
      </c>
      <c r="AU12" s="49">
        <v>334170.73911000002</v>
      </c>
      <c r="AV12" s="49">
        <v>353408.83344000002</v>
      </c>
      <c r="AW12" s="49">
        <v>405192.56348000001</v>
      </c>
      <c r="AX12" s="49">
        <v>423379.71707999997</v>
      </c>
      <c r="AY12" s="49">
        <v>437355.17479000002</v>
      </c>
      <c r="AZ12" s="49">
        <v>447031.03988</v>
      </c>
      <c r="BA12" s="49">
        <v>464814.24789999996</v>
      </c>
      <c r="BB12" s="49">
        <v>482021.53249999997</v>
      </c>
      <c r="BC12" s="49">
        <v>498216.65924000001</v>
      </c>
      <c r="BD12" s="49">
        <v>463962.32991000003</v>
      </c>
      <c r="BE12" s="49">
        <v>471965.74362000002</v>
      </c>
      <c r="BF12" s="49">
        <v>488926.60933999997</v>
      </c>
      <c r="BG12" s="49">
        <v>507267.36082</v>
      </c>
      <c r="BH12" s="49">
        <v>460764.34097999998</v>
      </c>
      <c r="BI12" s="49">
        <v>476951.57207999995</v>
      </c>
      <c r="BJ12" s="49">
        <v>486342.88150000002</v>
      </c>
      <c r="BK12" s="49">
        <v>384793.37868999998</v>
      </c>
      <c r="BL12" s="49">
        <v>384763.12475999998</v>
      </c>
      <c r="BM12" s="23">
        <v>503021.49484</v>
      </c>
      <c r="BN12" s="23">
        <v>535000.63416999998</v>
      </c>
      <c r="BO12" s="23">
        <v>535492.66917999997</v>
      </c>
      <c r="BP12" s="23">
        <v>449734.87079999998</v>
      </c>
      <c r="BQ12" s="23">
        <v>459493.29152999999</v>
      </c>
      <c r="BR12" s="23">
        <v>476153.10371</v>
      </c>
      <c r="BS12" s="23">
        <v>496312.93964</v>
      </c>
      <c r="BT12" s="23">
        <v>513062.18292999995</v>
      </c>
      <c r="BU12" s="23">
        <v>529515.24488000001</v>
      </c>
      <c r="BV12" s="23">
        <v>466603.26483</v>
      </c>
      <c r="BW12" s="23">
        <v>435443.05454999994</v>
      </c>
      <c r="BX12" s="23">
        <v>389830.81637000002</v>
      </c>
      <c r="BY12" s="23">
        <v>406540.08568999998</v>
      </c>
      <c r="BZ12" s="23">
        <v>368707.42454999994</v>
      </c>
      <c r="CA12" s="23">
        <v>354655.49539999996</v>
      </c>
      <c r="CB12" s="23">
        <v>380488.87981000001</v>
      </c>
      <c r="CC12" s="23">
        <v>375882.32060999994</v>
      </c>
      <c r="CD12" s="23">
        <v>342252.91260999994</v>
      </c>
      <c r="CE12" s="23">
        <v>323785.21476</v>
      </c>
      <c r="CF12" s="23">
        <v>220474.22445000001</v>
      </c>
      <c r="CG12" s="23">
        <v>297796.68116999994</v>
      </c>
      <c r="CH12" s="23">
        <v>372773.12770000001</v>
      </c>
      <c r="CI12" s="23">
        <v>291214.01898999995</v>
      </c>
      <c r="CJ12" s="23">
        <v>295420.70744999999</v>
      </c>
      <c r="CK12" s="23">
        <v>349802.96291999996</v>
      </c>
      <c r="CL12" s="23">
        <v>355240.27038</v>
      </c>
      <c r="CM12" s="23">
        <v>375238.07506</v>
      </c>
      <c r="CN12" s="23">
        <v>318849.53978999995</v>
      </c>
      <c r="CO12" s="23">
        <v>324401.98475999996</v>
      </c>
      <c r="CP12" s="23">
        <v>341248.32103999995</v>
      </c>
      <c r="CQ12" s="23">
        <v>409742.92074999999</v>
      </c>
      <c r="CR12" s="23">
        <v>364778.96336200001</v>
      </c>
      <c r="CS12" s="23">
        <v>394686.76133000001</v>
      </c>
      <c r="CT12" s="23">
        <v>374141.75066000002</v>
      </c>
      <c r="CU12" s="23">
        <v>400472.19186999998</v>
      </c>
      <c r="CV12" s="23">
        <v>426270.74610000005</v>
      </c>
      <c r="CW12" s="23">
        <v>439057.46064999996</v>
      </c>
      <c r="CX12" s="23">
        <v>410025.96547000005</v>
      </c>
      <c r="CY12" s="23">
        <f>436915785.19/1000</f>
        <v>436915.78519000002</v>
      </c>
      <c r="CZ12" s="23">
        <f>469479994.96/1000</f>
        <v>469479.99495999998</v>
      </c>
      <c r="DA12" s="23">
        <f>467046665.09/1000</f>
        <v>467046.66508999997</v>
      </c>
      <c r="DB12" s="23">
        <v>368707.35384</v>
      </c>
      <c r="DC12" s="23">
        <f>388440590.79/1000</f>
        <v>388440.59079000005</v>
      </c>
      <c r="DD12" s="23">
        <f>406988976.36/1000</f>
        <v>406988.97636000003</v>
      </c>
      <c r="DE12" s="23">
        <f>553134928.23/1000</f>
        <v>553134.92822999996</v>
      </c>
      <c r="DF12" s="23">
        <v>445155.69293000002</v>
      </c>
      <c r="DG12" s="23">
        <f>376186029.34/1000</f>
        <v>376186.02933999995</v>
      </c>
      <c r="DH12" s="23">
        <v>400374.48502999998</v>
      </c>
      <c r="DI12" s="23">
        <v>386709.88539999997</v>
      </c>
      <c r="DJ12" s="23">
        <v>441087.0503</v>
      </c>
      <c r="DK12" s="23">
        <v>329197.46869999997</v>
      </c>
      <c r="DL12" s="23">
        <v>57416.779869999998</v>
      </c>
      <c r="DM12" s="23">
        <v>83864.578540000002</v>
      </c>
      <c r="DN12" s="23">
        <v>40775.903720000002</v>
      </c>
      <c r="DO12" s="23">
        <v>153904.40153</v>
      </c>
      <c r="DP12" s="23">
        <v>107637.40893000001</v>
      </c>
      <c r="DQ12" s="23">
        <v>111362.8161</v>
      </c>
      <c r="DR12" s="23">
        <v>94940.518060000002</v>
      </c>
      <c r="DS12" s="23">
        <v>144898.70084</v>
      </c>
      <c r="DT12" s="23">
        <v>124736.93357999998</v>
      </c>
      <c r="DU12" s="23">
        <v>60659.86073</v>
      </c>
      <c r="DV12" s="23">
        <v>79831.985099999991</v>
      </c>
      <c r="DW12" s="23">
        <v>74631.104470000006</v>
      </c>
      <c r="DX12" s="23">
        <v>85806.125400000004</v>
      </c>
      <c r="DY12" s="23">
        <v>85838.469389999998</v>
      </c>
      <c r="DZ12" s="23">
        <v>97049.352350000001</v>
      </c>
      <c r="EA12" s="23">
        <v>82263.56005</v>
      </c>
      <c r="EB12" s="23">
        <v>100124.46267000001</v>
      </c>
      <c r="EC12" s="23">
        <v>110665.02703</v>
      </c>
      <c r="ED12" s="23">
        <v>124700.66404999999</v>
      </c>
      <c r="EE12" s="23">
        <v>137985.42052000001</v>
      </c>
      <c r="EF12" s="23">
        <v>145909.32063</v>
      </c>
      <c r="EG12" s="23">
        <v>142379.08762000001</v>
      </c>
      <c r="EH12" s="23">
        <v>83892.605519999997</v>
      </c>
      <c r="EI12" s="23">
        <v>86964.645250000001</v>
      </c>
      <c r="EJ12" s="23">
        <v>100534.16859999999</v>
      </c>
      <c r="EK12" s="23">
        <v>101649.56045</v>
      </c>
      <c r="EL12" s="23">
        <v>85053.190359999993</v>
      </c>
      <c r="EM12" s="23">
        <v>78113.273680000013</v>
      </c>
      <c r="EN12" s="23">
        <v>111643.03638999999</v>
      </c>
      <c r="EO12" s="23">
        <v>87629.788459999996</v>
      </c>
      <c r="EP12" s="23">
        <v>103695.4561</v>
      </c>
      <c r="EQ12" s="23">
        <v>115784.77767</v>
      </c>
      <c r="ER12" s="23">
        <v>85291.559030000004</v>
      </c>
      <c r="ES12" s="23">
        <v>125998.00142</v>
      </c>
      <c r="ET12" s="23">
        <v>164517.04388999997</v>
      </c>
      <c r="EU12" s="23">
        <v>150723.19709999999</v>
      </c>
      <c r="EV12" s="23">
        <v>184438.28838999997</v>
      </c>
      <c r="EW12" s="23">
        <v>98990.997690000004</v>
      </c>
      <c r="EX12" s="23">
        <v>113622.58942</v>
      </c>
      <c r="EY12" s="23">
        <v>126145.0258</v>
      </c>
      <c r="EZ12" s="23">
        <v>145805.85194999998</v>
      </c>
      <c r="FA12" s="23">
        <v>3925.2053999999998</v>
      </c>
      <c r="FB12" s="23">
        <v>21905.434539999998</v>
      </c>
      <c r="FC12" s="23">
        <v>35032.690299999995</v>
      </c>
      <c r="FD12" s="23">
        <v>51688.645429999997</v>
      </c>
      <c r="FE12" s="23">
        <v>61257.82432</v>
      </c>
    </row>
    <row r="13" spans="2:161" x14ac:dyDescent="0.3">
      <c r="B13" s="27" t="s">
        <v>23</v>
      </c>
      <c r="C13" s="29" t="s">
        <v>24</v>
      </c>
      <c r="D13" s="49">
        <v>550720.20340999996</v>
      </c>
      <c r="E13" s="49">
        <v>553326.11474999995</v>
      </c>
      <c r="F13" s="49">
        <v>543309.23707000003</v>
      </c>
      <c r="G13" s="49">
        <v>547201.95973999996</v>
      </c>
      <c r="H13" s="49">
        <v>568538.88288000005</v>
      </c>
      <c r="I13" s="49">
        <v>544807.60732000007</v>
      </c>
      <c r="J13" s="49">
        <v>545646.05109000008</v>
      </c>
      <c r="K13" s="49">
        <v>546663.87086000002</v>
      </c>
      <c r="L13" s="49">
        <v>547884.67949000001</v>
      </c>
      <c r="M13" s="49">
        <v>548913.74315999995</v>
      </c>
      <c r="N13" s="49">
        <v>550044.54960999999</v>
      </c>
      <c r="O13" s="49">
        <v>585288.81816999998</v>
      </c>
      <c r="P13" s="49">
        <v>586251.40966</v>
      </c>
      <c r="Q13" s="49">
        <v>565093.54545000009</v>
      </c>
      <c r="R13" s="49">
        <v>546197.03229999996</v>
      </c>
      <c r="S13" s="49">
        <v>547306.88320000004</v>
      </c>
      <c r="T13" s="49">
        <v>594117.19726000004</v>
      </c>
      <c r="U13" s="49">
        <v>610772.89928999997</v>
      </c>
      <c r="V13" s="49">
        <v>611742.04911999998</v>
      </c>
      <c r="W13" s="49">
        <v>570730.99398000003</v>
      </c>
      <c r="X13" s="49">
        <v>530770.80404000008</v>
      </c>
      <c r="Y13" s="49">
        <v>566880.69244000001</v>
      </c>
      <c r="Z13" s="49">
        <v>676116.24284000008</v>
      </c>
      <c r="AA13" s="49">
        <v>677803.53738999995</v>
      </c>
      <c r="AB13" s="49">
        <v>717319.21160000004</v>
      </c>
      <c r="AC13" s="49">
        <v>719207.13491000002</v>
      </c>
      <c r="AD13" s="49">
        <v>774368.52885999996</v>
      </c>
      <c r="AE13" s="49">
        <v>793447.48626999999</v>
      </c>
      <c r="AF13" s="49">
        <v>781803.13405999995</v>
      </c>
      <c r="AG13" s="49">
        <v>788036.95713999995</v>
      </c>
      <c r="AH13" s="49">
        <v>791774.29459000006</v>
      </c>
      <c r="AI13" s="49">
        <v>834965.95144000009</v>
      </c>
      <c r="AJ13" s="49">
        <v>834184.06357</v>
      </c>
      <c r="AK13" s="49">
        <v>894754.50977</v>
      </c>
      <c r="AL13" s="49">
        <v>894572.16312000004</v>
      </c>
      <c r="AM13" s="49">
        <v>865260.13364000001</v>
      </c>
      <c r="AN13" s="49">
        <v>950503.74511000002</v>
      </c>
      <c r="AO13" s="49">
        <v>950474.42520000006</v>
      </c>
      <c r="AP13" s="49">
        <v>901314.35104999994</v>
      </c>
      <c r="AQ13" s="49">
        <v>877785.58854999999</v>
      </c>
      <c r="AR13" s="49">
        <v>896652.84236000001</v>
      </c>
      <c r="AS13" s="49">
        <v>862041.35265999998</v>
      </c>
      <c r="AT13" s="49">
        <v>827506.28520000004</v>
      </c>
      <c r="AU13" s="49">
        <v>801052.67521999998</v>
      </c>
      <c r="AV13" s="49">
        <v>797088.49936999998</v>
      </c>
      <c r="AW13" s="49">
        <v>759955.62233000004</v>
      </c>
      <c r="AX13" s="49">
        <v>756949.18538000004</v>
      </c>
      <c r="AY13" s="49">
        <v>757902.54842000001</v>
      </c>
      <c r="AZ13" s="49">
        <v>764899.95952999999</v>
      </c>
      <c r="BA13" s="49">
        <v>762776.43986000004</v>
      </c>
      <c r="BB13" s="49">
        <v>762553.55697999999</v>
      </c>
      <c r="BC13" s="49">
        <v>763036.90813</v>
      </c>
      <c r="BD13" s="49">
        <v>814080.89353999996</v>
      </c>
      <c r="BE13" s="49">
        <v>821710.98361</v>
      </c>
      <c r="BF13" s="49">
        <v>822111.80964999995</v>
      </c>
      <c r="BG13" s="49">
        <v>819583.51170000003</v>
      </c>
      <c r="BH13" s="49">
        <v>881368.98638999998</v>
      </c>
      <c r="BI13" s="49">
        <v>882454.87722999998</v>
      </c>
      <c r="BJ13" s="49">
        <v>888917.21273000003</v>
      </c>
      <c r="BK13" s="49">
        <v>1006741.148</v>
      </c>
      <c r="BL13" s="49">
        <v>1023123.34791</v>
      </c>
      <c r="BM13" s="23">
        <v>906057.27969000011</v>
      </c>
      <c r="BN13" s="23">
        <v>906448.21269000007</v>
      </c>
      <c r="BO13" s="23">
        <v>923029.34898000001</v>
      </c>
      <c r="BP13" s="23">
        <v>1025784.9179400001</v>
      </c>
      <c r="BQ13" s="23">
        <v>1032919.35158</v>
      </c>
      <c r="BR13" s="23">
        <v>1032929.1063</v>
      </c>
      <c r="BS13" s="23">
        <v>1032124.7835700001</v>
      </c>
      <c r="BT13" s="23">
        <v>1032998.22497</v>
      </c>
      <c r="BU13" s="23">
        <v>1033275.03204</v>
      </c>
      <c r="BV13" s="23">
        <v>1097837.83715</v>
      </c>
      <c r="BW13" s="23">
        <v>1161653.8792699999</v>
      </c>
      <c r="BX13" s="23">
        <v>1225726.77128</v>
      </c>
      <c r="BY13" s="23">
        <v>1225925.1495699999</v>
      </c>
      <c r="BZ13" s="23">
        <v>1283425.49615</v>
      </c>
      <c r="CA13" s="23">
        <v>1315277.5569000002</v>
      </c>
      <c r="CB13" s="23">
        <v>1307569.3617400001</v>
      </c>
      <c r="CC13" s="23">
        <v>1329922.4157</v>
      </c>
      <c r="CD13" s="23">
        <v>1381351.26988</v>
      </c>
      <c r="CE13" s="23">
        <v>1418177.5518699999</v>
      </c>
      <c r="CF13" s="23">
        <v>1541245.8051400001</v>
      </c>
      <c r="CG13" s="23">
        <v>1482811.1966900001</v>
      </c>
      <c r="CH13" s="23">
        <v>1426104.6087400001</v>
      </c>
      <c r="CI13" s="23">
        <v>1528378.0422400001</v>
      </c>
      <c r="CJ13" s="23">
        <v>1529801.26905</v>
      </c>
      <c r="CK13" s="23">
        <v>1510936.9513699999</v>
      </c>
      <c r="CL13" s="23">
        <v>1527164.5816500001</v>
      </c>
      <c r="CM13" s="23">
        <v>1510850.7315</v>
      </c>
      <c r="CN13" s="23">
        <v>1569217.7620899999</v>
      </c>
      <c r="CO13" s="23">
        <v>1565864.30782</v>
      </c>
      <c r="CP13" s="23">
        <v>1618971.8358499999</v>
      </c>
      <c r="CQ13" s="23">
        <v>1571110.58479</v>
      </c>
      <c r="CR13" s="23">
        <v>1635276.29421</v>
      </c>
      <c r="CS13" s="23">
        <v>1625081.0957799999</v>
      </c>
      <c r="CT13" s="23">
        <v>1665345.6938</v>
      </c>
      <c r="CU13" s="23">
        <v>1664631.65613</v>
      </c>
      <c r="CV13" s="23">
        <v>1645364.5105999999</v>
      </c>
      <c r="CW13" s="23">
        <v>1634933.2448800001</v>
      </c>
      <c r="CX13" s="23">
        <v>1669670.35405</v>
      </c>
      <c r="CY13" s="23">
        <f>1695085621.98/1000</f>
        <v>1695085.6219800001</v>
      </c>
      <c r="CZ13" s="23">
        <f>1700755442.85/1000</f>
        <v>1700755.44285</v>
      </c>
      <c r="DA13" s="23">
        <f>1724312134.28/1000</f>
        <v>1724312.1342799999</v>
      </c>
      <c r="DB13" s="23">
        <v>1828111.7251800001</v>
      </c>
      <c r="DC13" s="23">
        <f>1851529430.53/1000</f>
        <v>1851529.43053</v>
      </c>
      <c r="DD13" s="23">
        <f>1855106940.83/1000</f>
        <v>1855106.94083</v>
      </c>
      <c r="DE13" s="23">
        <f>1718309405.82/1000</f>
        <v>1718309.40582</v>
      </c>
      <c r="DF13" s="23">
        <v>1867899.7801099999</v>
      </c>
      <c r="DG13" s="23">
        <f>1963102970.53/1000</f>
        <v>1963102.97053</v>
      </c>
      <c r="DH13" s="23">
        <v>1966170.8148099999</v>
      </c>
      <c r="DI13" s="23">
        <v>2002904.12531</v>
      </c>
      <c r="DJ13" s="23">
        <v>1971610.1098900002</v>
      </c>
      <c r="DK13" s="23">
        <v>2116621.3884200002</v>
      </c>
      <c r="DL13" s="23">
        <v>2396247.64445</v>
      </c>
      <c r="DM13" s="23">
        <v>2404856.6130300001</v>
      </c>
      <c r="DN13" s="23">
        <v>2471386.1756599997</v>
      </c>
      <c r="DO13" s="23">
        <v>2382825.0485799997</v>
      </c>
      <c r="DP13" s="23">
        <v>2452379.9209199999</v>
      </c>
      <c r="DQ13" s="23">
        <v>2453222.8659000001</v>
      </c>
      <c r="DR13" s="23">
        <v>2480711.72927</v>
      </c>
      <c r="DS13" s="23">
        <v>2443113.5208100001</v>
      </c>
      <c r="DT13" s="23">
        <v>2477441.2066600001</v>
      </c>
      <c r="DU13" s="23">
        <v>2552479.8710100004</v>
      </c>
      <c r="DV13" s="23">
        <v>2546652.5847300002</v>
      </c>
      <c r="DW13" s="23">
        <v>2565859.1110200002</v>
      </c>
      <c r="DX13" s="23">
        <v>2568169.03186</v>
      </c>
      <c r="DY13" s="23">
        <v>2577311.4808</v>
      </c>
      <c r="DZ13" s="23">
        <v>2578452.2583300001</v>
      </c>
      <c r="EA13" s="23">
        <v>2595278.9219200001</v>
      </c>
      <c r="EB13" s="23">
        <v>2591022.4728899999</v>
      </c>
      <c r="EC13" s="23">
        <v>2595517.8298899997</v>
      </c>
      <c r="ED13" s="23">
        <v>2597259.1933200001</v>
      </c>
      <c r="EE13" s="23">
        <v>2592267.6625700002</v>
      </c>
      <c r="EF13" s="23">
        <v>2594817.74988</v>
      </c>
      <c r="EG13" s="23">
        <v>2608508.3705500001</v>
      </c>
      <c r="EH13" s="23">
        <v>2676412.5182500002</v>
      </c>
      <c r="EI13" s="23">
        <v>2688239.2068699999</v>
      </c>
      <c r="EJ13" s="23">
        <v>2688728.1030600001</v>
      </c>
      <c r="EK13" s="23">
        <v>2696128.8225199999</v>
      </c>
      <c r="EL13" s="23">
        <v>2725244.6347500002</v>
      </c>
      <c r="EM13" s="23">
        <v>2745375.9137499998</v>
      </c>
      <c r="EN13" s="23">
        <v>2728180.88845</v>
      </c>
      <c r="EO13" s="23">
        <v>2773995.5159899998</v>
      </c>
      <c r="EP13" s="23">
        <v>2776560.0958000002</v>
      </c>
      <c r="EQ13" s="23">
        <v>2777329.6134899999</v>
      </c>
      <c r="ER13" s="23">
        <v>2822323.8896699999</v>
      </c>
      <c r="ES13" s="23">
        <v>2794998.6655900003</v>
      </c>
      <c r="ET13" s="23">
        <v>2776549.8891999996</v>
      </c>
      <c r="EU13" s="23">
        <v>2786274.7153600003</v>
      </c>
      <c r="EV13" s="23">
        <v>2773338.5532900002</v>
      </c>
      <c r="EW13" s="23">
        <v>2873759.6828200002</v>
      </c>
      <c r="EX13" s="23">
        <v>2875219.7928599999</v>
      </c>
      <c r="EY13" s="23">
        <v>2876068.8874499998</v>
      </c>
      <c r="EZ13" s="23">
        <v>2877496.0187399997</v>
      </c>
      <c r="FA13" s="23">
        <v>3037697.0784200002</v>
      </c>
      <c r="FB13" s="23">
        <v>3042604.3722800002</v>
      </c>
      <c r="FC13" s="23">
        <v>3044468.7432600004</v>
      </c>
      <c r="FD13" s="23">
        <v>3042558.0958799999</v>
      </c>
      <c r="FE13" s="23">
        <v>3045361.9804799999</v>
      </c>
    </row>
    <row r="14" spans="2:161" x14ac:dyDescent="0.3">
      <c r="B14" s="27" t="s">
        <v>25</v>
      </c>
      <c r="C14" s="29" t="s">
        <v>26</v>
      </c>
      <c r="D14" s="49">
        <v>3447.6309799999999</v>
      </c>
      <c r="E14" s="49">
        <v>2472.62435</v>
      </c>
      <c r="F14" s="49">
        <v>58918.923109999996</v>
      </c>
      <c r="G14" s="49">
        <v>56237.526039999997</v>
      </c>
      <c r="H14" s="49">
        <v>55958.431729999997</v>
      </c>
      <c r="I14" s="49">
        <v>56136.348530000003</v>
      </c>
      <c r="J14" s="49">
        <v>56384.733350000002</v>
      </c>
      <c r="K14" s="49">
        <v>56489.508820000003</v>
      </c>
      <c r="L14" s="49">
        <v>56350.900479999997</v>
      </c>
      <c r="M14" s="49">
        <v>56307.38192</v>
      </c>
      <c r="N14" s="49">
        <v>56360.503549999994</v>
      </c>
      <c r="O14" s="49">
        <v>56735.83064</v>
      </c>
      <c r="P14" s="49">
        <v>57120.284490000005</v>
      </c>
      <c r="Q14" s="49">
        <v>57022.278450000005</v>
      </c>
      <c r="R14" s="49">
        <v>57298.799049999994</v>
      </c>
      <c r="S14" s="49">
        <v>57843.502350000002</v>
      </c>
      <c r="T14" s="49">
        <v>56443.065270000006</v>
      </c>
      <c r="U14" s="49">
        <v>56222.326909999996</v>
      </c>
      <c r="V14" s="49">
        <v>56760.931779999999</v>
      </c>
      <c r="W14" s="49">
        <v>57370.416579999997</v>
      </c>
      <c r="X14" s="49">
        <v>59920.082110000003</v>
      </c>
      <c r="Y14" s="49">
        <v>60647.92136</v>
      </c>
      <c r="Z14" s="49">
        <v>60795.816549999996</v>
      </c>
      <c r="AA14" s="49">
        <v>57535.53153</v>
      </c>
      <c r="AB14" s="49">
        <v>52670.010920000001</v>
      </c>
      <c r="AC14" s="49">
        <v>52343.840100000001</v>
      </c>
      <c r="AD14" s="49">
        <v>46474.592140000001</v>
      </c>
      <c r="AE14" s="49">
        <v>46106.145530000002</v>
      </c>
      <c r="AF14" s="49">
        <v>44699.203110000002</v>
      </c>
      <c r="AG14" s="49">
        <v>45178.542609999997</v>
      </c>
      <c r="AH14" s="49">
        <v>53727.745289999999</v>
      </c>
      <c r="AI14" s="49">
        <v>46000.461219999997</v>
      </c>
      <c r="AJ14" s="49">
        <v>45986.215880000003</v>
      </c>
      <c r="AK14" s="49">
        <v>45493.894039999999</v>
      </c>
      <c r="AL14" s="49">
        <v>45472.592240000005</v>
      </c>
      <c r="AM14" s="49">
        <v>44919.44644</v>
      </c>
      <c r="AN14" s="49">
        <v>44696.24942</v>
      </c>
      <c r="AO14" s="49">
        <v>44447.674570000003</v>
      </c>
      <c r="AP14" s="49">
        <v>44655.156040000002</v>
      </c>
      <c r="AQ14" s="49">
        <v>44252.182030000004</v>
      </c>
      <c r="AR14" s="49">
        <v>44168.977780000001</v>
      </c>
      <c r="AS14" s="49">
        <v>44754.904219999997</v>
      </c>
      <c r="AT14" s="49">
        <v>44246.052729999996</v>
      </c>
      <c r="AU14" s="49">
        <v>44308.578130000002</v>
      </c>
      <c r="AV14" s="49">
        <v>44054.497159999999</v>
      </c>
      <c r="AW14" s="49">
        <v>44690.331450000005</v>
      </c>
      <c r="AX14" s="49">
        <v>45248.535590000007</v>
      </c>
      <c r="AY14" s="49">
        <v>2542.66923</v>
      </c>
      <c r="AZ14" s="49">
        <v>1511.0616100000002</v>
      </c>
      <c r="BA14" s="49">
        <v>1853.9513699999998</v>
      </c>
      <c r="BB14" s="49">
        <v>785.64361999999994</v>
      </c>
      <c r="BC14" s="49">
        <v>1330.9286</v>
      </c>
      <c r="BD14" s="49">
        <v>1894.28909</v>
      </c>
      <c r="BE14" s="49">
        <v>2332.07296</v>
      </c>
      <c r="BF14" s="49">
        <v>1236.12664</v>
      </c>
      <c r="BG14" s="49">
        <v>1534.5804499999999</v>
      </c>
      <c r="BH14" s="49">
        <v>810.77571999999998</v>
      </c>
      <c r="BI14" s="49">
        <v>1257.46937</v>
      </c>
      <c r="BJ14" s="49">
        <v>1545.7655600000001</v>
      </c>
      <c r="BK14" s="49">
        <v>1690.7376999999999</v>
      </c>
      <c r="BL14" s="49">
        <v>2351.0167700000002</v>
      </c>
      <c r="BM14" s="23">
        <v>2877.0906400000003</v>
      </c>
      <c r="BN14" s="23">
        <v>2620.8340800000001</v>
      </c>
      <c r="BO14" s="23">
        <v>2791.5622599999997</v>
      </c>
      <c r="BP14" s="23">
        <v>3136.55512</v>
      </c>
      <c r="BQ14" s="23">
        <v>3428.1451699999998</v>
      </c>
      <c r="BR14" s="23">
        <v>3966.7760400000002</v>
      </c>
      <c r="BS14" s="23">
        <v>3785.8618199999996</v>
      </c>
      <c r="BT14" s="23">
        <v>3441.6577699999957</v>
      </c>
      <c r="BU14" s="23">
        <v>4134.9931800000004</v>
      </c>
      <c r="BV14" s="23">
        <v>4819.6784100000004</v>
      </c>
      <c r="BW14" s="23">
        <v>4648.5263099999993</v>
      </c>
      <c r="BX14" s="23">
        <v>4276.4338899999993</v>
      </c>
      <c r="BY14" s="23">
        <v>5199.3418200000006</v>
      </c>
      <c r="BZ14" s="23">
        <v>3802.2510600000001</v>
      </c>
      <c r="CA14" s="23">
        <v>4642.4385599999996</v>
      </c>
      <c r="CB14" s="23">
        <v>5491.1743399999996</v>
      </c>
      <c r="CC14" s="23">
        <v>6416.6994999999997</v>
      </c>
      <c r="CD14" s="23">
        <v>7696.9476100000002</v>
      </c>
      <c r="CE14" s="23">
        <v>8437.3232599999992</v>
      </c>
      <c r="CF14" s="23">
        <v>7887.1322</v>
      </c>
      <c r="CG14" s="23">
        <v>8258.63681</v>
      </c>
      <c r="CH14" s="23">
        <v>9511.5103900000013</v>
      </c>
      <c r="CI14" s="23">
        <v>8420.1913599999989</v>
      </c>
      <c r="CJ14" s="23">
        <v>6454.1709199999996</v>
      </c>
      <c r="CK14" s="23">
        <v>7862.4665300000006</v>
      </c>
      <c r="CL14" s="23">
        <v>6853.7585999999992</v>
      </c>
      <c r="CM14" s="23">
        <v>6778.2503000000006</v>
      </c>
      <c r="CN14" s="23">
        <v>8546.4590000000007</v>
      </c>
      <c r="CO14" s="23">
        <v>10008.68982</v>
      </c>
      <c r="CP14" s="23">
        <v>11047.83546</v>
      </c>
      <c r="CQ14" s="23">
        <v>11093.182859999999</v>
      </c>
      <c r="CR14" s="23">
        <v>12730.5</v>
      </c>
      <c r="CS14" s="23">
        <v>14208.159810000001</v>
      </c>
      <c r="CT14" s="23">
        <v>15817.65382</v>
      </c>
      <c r="CU14" s="23">
        <v>11716.852859999999</v>
      </c>
      <c r="CV14" s="23">
        <v>8821.72552</v>
      </c>
      <c r="CW14" s="23">
        <v>9872.6486200000018</v>
      </c>
      <c r="CX14" s="23">
        <v>7822.6649500000003</v>
      </c>
      <c r="CY14" s="23">
        <f>5930958.91/1000</f>
        <v>5930.9589100000003</v>
      </c>
      <c r="CZ14" s="23">
        <f>8644850.87/1000</f>
        <v>8644.8508699999984</v>
      </c>
      <c r="DA14" s="23">
        <f>11580504.72/1000</f>
        <v>11580.504720000001</v>
      </c>
      <c r="DB14" s="23">
        <v>12131.934529999999</v>
      </c>
      <c r="DC14" s="23">
        <f>14080680.4/1000</f>
        <v>14080.680400000001</v>
      </c>
      <c r="DD14" s="23">
        <f>16955936.43/1000</f>
        <v>16955.936429999998</v>
      </c>
      <c r="DE14" s="23">
        <f>12766223.02/1000</f>
        <v>12766.223019999999</v>
      </c>
      <c r="DF14" s="23">
        <v>15120.31827</v>
      </c>
      <c r="DG14" s="23">
        <f>14298111.58/1000</f>
        <v>14298.111580000001</v>
      </c>
      <c r="DH14" s="23">
        <v>12452.48913</v>
      </c>
      <c r="DI14" s="23">
        <v>15323.066849999999</v>
      </c>
      <c r="DJ14" s="23">
        <v>18323.462359999998</v>
      </c>
      <c r="DK14" s="23">
        <v>9775.4474300000002</v>
      </c>
      <c r="DL14" s="23">
        <v>12144.609470000001</v>
      </c>
      <c r="DM14" s="23">
        <v>12596.18298</v>
      </c>
      <c r="DN14" s="23">
        <v>16523.9336</v>
      </c>
      <c r="DO14" s="23">
        <v>17275.860100000002</v>
      </c>
      <c r="DP14" s="23">
        <v>20779.74337</v>
      </c>
      <c r="DQ14" s="23">
        <v>18960.492899999997</v>
      </c>
      <c r="DR14" s="23">
        <v>17895.889079999997</v>
      </c>
      <c r="DS14" s="23">
        <v>16802.216809999998</v>
      </c>
      <c r="DT14" s="23">
        <v>15112.727359999999</v>
      </c>
      <c r="DU14" s="23">
        <v>17035.169819999999</v>
      </c>
      <c r="DV14" s="23">
        <v>19280.146510000002</v>
      </c>
      <c r="DW14" s="23">
        <v>18943.110199999999</v>
      </c>
      <c r="DX14" s="23">
        <v>19254.691079999997</v>
      </c>
      <c r="DY14" s="23">
        <v>23491.069510000001</v>
      </c>
      <c r="DZ14" s="23">
        <v>24891.662820000001</v>
      </c>
      <c r="EA14" s="23">
        <v>26324.170730000002</v>
      </c>
      <c r="EB14" s="23">
        <v>24048.12904</v>
      </c>
      <c r="EC14" s="23">
        <v>23105.067489999998</v>
      </c>
      <c r="ED14" s="23">
        <v>20517.256229999999</v>
      </c>
      <c r="EE14" s="23">
        <v>23905.96255</v>
      </c>
      <c r="EF14" s="23">
        <v>26359.257289999998</v>
      </c>
      <c r="EG14" s="23">
        <v>28319.812750000001</v>
      </c>
      <c r="EH14" s="23">
        <v>25348.42453</v>
      </c>
      <c r="EI14" s="23">
        <v>23207.006269999998</v>
      </c>
      <c r="EJ14" s="23">
        <v>22790.36436</v>
      </c>
      <c r="EK14" s="23">
        <v>26794.963940000001</v>
      </c>
      <c r="EL14" s="23">
        <v>27506.950769999999</v>
      </c>
      <c r="EM14" s="23">
        <v>30890.77118</v>
      </c>
      <c r="EN14" s="23">
        <v>26703.88897</v>
      </c>
      <c r="EO14" s="23">
        <v>25202.704379999999</v>
      </c>
      <c r="EP14" s="23">
        <v>21563.298420000003</v>
      </c>
      <c r="EQ14" s="23">
        <v>25877.460010000003</v>
      </c>
      <c r="ER14" s="23">
        <v>28463.521230000002</v>
      </c>
      <c r="ES14" s="23">
        <v>31281.791649999999</v>
      </c>
      <c r="ET14" s="23">
        <v>27958.995320000002</v>
      </c>
      <c r="EU14" s="23">
        <v>48825.652270000006</v>
      </c>
      <c r="EV14" s="23">
        <v>30367.123510000001</v>
      </c>
      <c r="EW14" s="23">
        <v>26551.345890000001</v>
      </c>
      <c r="EX14" s="23">
        <v>28311.390190000002</v>
      </c>
      <c r="EY14" s="23">
        <v>32021.565589999998</v>
      </c>
      <c r="EZ14" s="23">
        <v>26947.260589999998</v>
      </c>
      <c r="FA14" s="23">
        <v>25159.560739999997</v>
      </c>
      <c r="FB14" s="23">
        <v>20314.722009999998</v>
      </c>
      <c r="FC14" s="23">
        <v>23479.38379</v>
      </c>
      <c r="FD14" s="23">
        <v>28180.655940000001</v>
      </c>
      <c r="FE14" s="23">
        <v>34278.687399999995</v>
      </c>
    </row>
    <row r="15" spans="2:161" x14ac:dyDescent="0.3">
      <c r="B15" s="27">
        <v>4</v>
      </c>
      <c r="C15" s="29" t="s">
        <v>55</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v>288.45666999999997</v>
      </c>
      <c r="AW15" s="49">
        <v>452.36613</v>
      </c>
      <c r="AX15" s="49">
        <v>633.47261000000003</v>
      </c>
      <c r="AY15" s="49">
        <v>43540.576789999999</v>
      </c>
      <c r="AZ15" s="49">
        <v>52.222929999999998</v>
      </c>
      <c r="BA15" s="49">
        <v>99.06671</v>
      </c>
      <c r="BB15" s="49">
        <v>149.57882000000001</v>
      </c>
      <c r="BC15" s="49">
        <v>197.99746999999999</v>
      </c>
      <c r="BD15" s="49">
        <v>248.72099</v>
      </c>
      <c r="BE15" s="49">
        <v>300.02537000000001</v>
      </c>
      <c r="BF15" s="49">
        <v>352.66131999999993</v>
      </c>
      <c r="BG15" s="49">
        <v>418.76017999999999</v>
      </c>
      <c r="BH15" s="49">
        <v>469.13006000000001</v>
      </c>
      <c r="BI15" s="49">
        <v>523.39356999999995</v>
      </c>
      <c r="BJ15" s="49">
        <v>576.59265999999991</v>
      </c>
      <c r="BK15" s="49">
        <v>0</v>
      </c>
      <c r="BL15" s="49">
        <v>62.871879999999997</v>
      </c>
      <c r="BM15" s="23">
        <v>121.94135</v>
      </c>
      <c r="BN15" s="23">
        <v>180.52870000000001</v>
      </c>
      <c r="BO15" s="23">
        <v>238.09044</v>
      </c>
      <c r="BP15" s="23">
        <v>313.93776000000003</v>
      </c>
      <c r="BQ15" s="23">
        <v>389.03784999999999</v>
      </c>
      <c r="BR15" s="23">
        <v>455.49653000000001</v>
      </c>
      <c r="BS15" s="23">
        <v>557.43880000000001</v>
      </c>
      <c r="BT15" s="23">
        <v>620.09431999999993</v>
      </c>
      <c r="BU15" s="23">
        <v>684.83375999999998</v>
      </c>
      <c r="BV15" s="23">
        <v>750.78102999999999</v>
      </c>
      <c r="BW15" s="23"/>
      <c r="BX15" s="23">
        <v>81.662019999999998</v>
      </c>
      <c r="BY15" s="23">
        <v>156.45133999999999</v>
      </c>
      <c r="BZ15" s="23">
        <v>245.68347</v>
      </c>
      <c r="CA15" s="23">
        <v>338.07506000000001</v>
      </c>
      <c r="CB15" s="23">
        <v>449.80662000000001</v>
      </c>
      <c r="CC15" s="23">
        <v>545.61593000000005</v>
      </c>
      <c r="CD15" s="23">
        <v>644.27552000000003</v>
      </c>
      <c r="CE15" s="23">
        <v>745.41386</v>
      </c>
      <c r="CF15" s="23">
        <v>886.63692000000003</v>
      </c>
      <c r="CG15" s="23">
        <v>996.29949999999997</v>
      </c>
      <c r="CH15" s="23">
        <v>1105.2365300000001</v>
      </c>
      <c r="CI15" s="23">
        <v>0</v>
      </c>
      <c r="CJ15" s="23">
        <v>121.50532000000001</v>
      </c>
      <c r="CK15" s="23">
        <v>268.71688</v>
      </c>
      <c r="CL15" s="23">
        <v>386.28479999999996</v>
      </c>
      <c r="CM15" s="23">
        <v>514.65135999999995</v>
      </c>
      <c r="CN15" s="23">
        <v>656.10208999999998</v>
      </c>
      <c r="CO15" s="23">
        <v>773.44641999999999</v>
      </c>
      <c r="CP15" s="23">
        <v>901.11829</v>
      </c>
      <c r="CQ15" s="23">
        <v>1023.79513</v>
      </c>
      <c r="CR15" s="23">
        <v>1141.5207600000001</v>
      </c>
      <c r="CS15" s="23">
        <v>1259.8555900000001</v>
      </c>
      <c r="CT15" s="23">
        <v>1376.5915600000001</v>
      </c>
      <c r="CU15" s="23">
        <v>0</v>
      </c>
      <c r="CV15" s="23">
        <v>117.45348</v>
      </c>
      <c r="CW15" s="23">
        <v>245.81193999999999</v>
      </c>
      <c r="CX15" s="23">
        <v>389.64729</v>
      </c>
      <c r="CY15" s="23">
        <f>9924407.79/1000</f>
        <v>9924.4077899999993</v>
      </c>
      <c r="CZ15" s="23">
        <f>11818093.36/1000</f>
        <v>11818.093359999999</v>
      </c>
      <c r="DA15" s="23">
        <f>11982285.01/1000</f>
        <v>11982.28501</v>
      </c>
      <c r="DB15" s="23">
        <v>12139.670310000001</v>
      </c>
      <c r="DC15" s="23">
        <f>12330708.61/1000</f>
        <v>12330.70861</v>
      </c>
      <c r="DD15" s="23">
        <f>12644904.37/1000</f>
        <v>12644.904369999998</v>
      </c>
      <c r="DE15" s="23">
        <f>12857040.89/1000</f>
        <v>12857.04089</v>
      </c>
      <c r="DF15" s="23">
        <v>13000.670300000002</v>
      </c>
      <c r="DG15" s="23">
        <v>0</v>
      </c>
      <c r="DH15" s="23">
        <v>242.49617999999998</v>
      </c>
      <c r="DI15" s="23">
        <v>397.85881999999998</v>
      </c>
      <c r="DJ15" s="23">
        <v>767.73479000000009</v>
      </c>
      <c r="DK15" s="23">
        <v>1007.55699</v>
      </c>
      <c r="DL15" s="23">
        <v>4617.8229199999996</v>
      </c>
      <c r="DM15" s="23">
        <v>5056.0070999999998</v>
      </c>
      <c r="DN15" s="23">
        <v>6643.5909499999998</v>
      </c>
      <c r="DO15" s="23">
        <v>8434.2589900000003</v>
      </c>
      <c r="DP15" s="23">
        <v>8972.2101600000005</v>
      </c>
      <c r="DQ15" s="23">
        <v>16138.79127</v>
      </c>
      <c r="DR15" s="23">
        <v>16367.546789999999</v>
      </c>
      <c r="DS15" s="22">
        <v>0</v>
      </c>
      <c r="DT15" s="23">
        <v>284.23856000000001</v>
      </c>
      <c r="DU15" s="23">
        <v>523.29651999999999</v>
      </c>
      <c r="DV15" s="23">
        <v>886.42193000000009</v>
      </c>
      <c r="DW15" s="23">
        <v>1189.01187</v>
      </c>
      <c r="DX15" s="23">
        <v>1475.0276200000001</v>
      </c>
      <c r="DY15" s="23">
        <v>1776.0929099999998</v>
      </c>
      <c r="DZ15" s="23">
        <v>2100.4857900000002</v>
      </c>
      <c r="EA15" s="23">
        <v>11852.760400000001</v>
      </c>
      <c r="EB15" s="23">
        <v>13406.017169999999</v>
      </c>
      <c r="EC15" s="23">
        <v>13712.061390000001</v>
      </c>
      <c r="ED15" s="23">
        <v>14011.712670000001</v>
      </c>
      <c r="EE15" s="23">
        <v>0</v>
      </c>
      <c r="EF15" s="23">
        <v>636.71911</v>
      </c>
      <c r="EG15" s="23">
        <v>1915.93103</v>
      </c>
      <c r="EH15" s="23">
        <v>5748.7189600000002</v>
      </c>
      <c r="EI15" s="23">
        <v>10048.672119999999</v>
      </c>
      <c r="EJ15" s="23">
        <v>10594.31618</v>
      </c>
      <c r="EK15" s="23">
        <v>12262.41029</v>
      </c>
      <c r="EL15" s="23">
        <v>14079.8511</v>
      </c>
      <c r="EM15" s="23">
        <v>14428.040070000001</v>
      </c>
      <c r="EN15" s="23">
        <v>14769.8943</v>
      </c>
      <c r="EO15" s="23">
        <v>15112.587670000001</v>
      </c>
      <c r="EP15" s="23">
        <v>17439.139239999997</v>
      </c>
      <c r="EQ15" s="23">
        <v>0</v>
      </c>
      <c r="ER15" s="23">
        <v>996.38174000000004</v>
      </c>
      <c r="ES15" s="23">
        <v>1319.1173700000002</v>
      </c>
      <c r="ET15" s="23">
        <v>1661.78503</v>
      </c>
      <c r="EU15" s="23">
        <v>26205.104480000002</v>
      </c>
      <c r="EV15" s="23">
        <v>26692.827410000002</v>
      </c>
      <c r="EW15" s="23">
        <v>27047.636030000001</v>
      </c>
      <c r="EX15" s="23">
        <v>27410.117750000001</v>
      </c>
      <c r="EY15" s="23">
        <v>27899.649410000002</v>
      </c>
      <c r="EZ15" s="23">
        <v>29204.05904</v>
      </c>
      <c r="FA15" s="23">
        <v>30334.054390000001</v>
      </c>
      <c r="FB15" s="23">
        <v>30687.120450000002</v>
      </c>
      <c r="FC15" s="23">
        <v>0</v>
      </c>
      <c r="FD15" s="23">
        <v>356.59528</v>
      </c>
      <c r="FE15" s="23">
        <v>935.17627000000005</v>
      </c>
    </row>
    <row r="16" spans="2:161" x14ac:dyDescent="0.3">
      <c r="B16" s="30"/>
      <c r="C16" s="31" t="s">
        <v>61</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f>+AV11+AV15</f>
        <v>1194840.2866400001</v>
      </c>
      <c r="AW16" s="51">
        <f>+AW11+AW15</f>
        <v>1210290.8833900001</v>
      </c>
      <c r="AX16" s="51">
        <f>+AX11+AX15</f>
        <v>1226210.9106600001</v>
      </c>
      <c r="AY16" s="51">
        <f>+AY11+AY15</f>
        <v>1241340.9692300002</v>
      </c>
      <c r="AZ16" s="51">
        <f>+AZ11+AZ15</f>
        <v>1213494.2839499998</v>
      </c>
      <c r="BA16" s="51">
        <v>1229543.70584</v>
      </c>
      <c r="BB16" s="51">
        <v>1245510.3119199998</v>
      </c>
      <c r="BC16" s="51">
        <v>1262782.4934399999</v>
      </c>
      <c r="BD16" s="51">
        <v>1280186.2335300001</v>
      </c>
      <c r="BE16" s="51">
        <v>1296308.82556</v>
      </c>
      <c r="BF16" s="51">
        <v>1312627.20695</v>
      </c>
      <c r="BG16" s="51">
        <v>1328804.2131500002</v>
      </c>
      <c r="BH16" s="51">
        <v>1343413.2331499998</v>
      </c>
      <c r="BI16" s="51">
        <v>1361187.3122499997</v>
      </c>
      <c r="BJ16" s="51">
        <v>1377382.45245</v>
      </c>
      <c r="BK16" s="51">
        <v>1393225.2643900001</v>
      </c>
      <c r="BL16" s="51">
        <v>1410300.3613200001</v>
      </c>
      <c r="BM16" s="24">
        <v>1412077.8065199999</v>
      </c>
      <c r="BN16" s="24">
        <v>1444250.20964</v>
      </c>
      <c r="BO16" s="24">
        <v>1461551.6708600002</v>
      </c>
      <c r="BP16" s="24">
        <v>1478970.2816199998</v>
      </c>
      <c r="BQ16" s="24">
        <v>1496229.8261300002</v>
      </c>
      <c r="BR16" s="24">
        <v>1513504.4825799998</v>
      </c>
      <c r="BS16" s="24">
        <v>1532781.0238299998</v>
      </c>
      <c r="BT16" s="24">
        <v>1550122.1599900001</v>
      </c>
      <c r="BU16" s="24">
        <v>1567610.1038600001</v>
      </c>
      <c r="BV16" s="24">
        <v>1570011.5614200002</v>
      </c>
      <c r="BW16" s="24">
        <v>1601745.4601299998</v>
      </c>
      <c r="BX16" s="24">
        <v>1619915.6835600003</v>
      </c>
      <c r="BY16" s="24">
        <v>1637821.0284199999</v>
      </c>
      <c r="BZ16" s="24">
        <v>1656180.8552300001</v>
      </c>
      <c r="CA16" s="24">
        <v>1674913.56592</v>
      </c>
      <c r="CB16" s="24">
        <v>1693999.2225099998</v>
      </c>
      <c r="CC16" s="24">
        <v>1712767.05174</v>
      </c>
      <c r="CD16" s="24">
        <v>1731945.4056199999</v>
      </c>
      <c r="CE16" s="24">
        <v>1751145.5037499997</v>
      </c>
      <c r="CF16" s="24">
        <v>1770493.7987100002</v>
      </c>
      <c r="CG16" s="24">
        <v>1789862.8141700001</v>
      </c>
      <c r="CH16" s="24">
        <v>1809494.4833600002</v>
      </c>
      <c r="CI16" s="24">
        <v>1828012.2525899999</v>
      </c>
      <c r="CJ16" s="24">
        <v>1831797.65274</v>
      </c>
      <c r="CK16" s="24">
        <v>1868871.0977</v>
      </c>
      <c r="CL16" s="24">
        <v>1889644.89543</v>
      </c>
      <c r="CM16" s="24">
        <v>1893381.7082199997</v>
      </c>
      <c r="CN16" s="24">
        <v>1897269.8629699999</v>
      </c>
      <c r="CO16" s="24">
        <v>1901048.42882</v>
      </c>
      <c r="CP16" s="24">
        <v>1972169.1106399999</v>
      </c>
      <c r="CQ16" s="24">
        <v>1992970.4835300001</v>
      </c>
      <c r="CR16" s="24">
        <v>2013927.2783320001</v>
      </c>
      <c r="CS16" s="24">
        <v>2035235.8725099997</v>
      </c>
      <c r="CT16" s="24">
        <v>2056681.6898399999</v>
      </c>
      <c r="CU16" s="24">
        <v>2076820.70086</v>
      </c>
      <c r="CV16" s="24">
        <v>2080574.4356999998</v>
      </c>
      <c r="CW16" s="24">
        <v>2084109.1660900002</v>
      </c>
      <c r="CX16" s="24">
        <v>2087908.63176</v>
      </c>
      <c r="CY16" s="24">
        <f>2147856773.87/1000</f>
        <v>2147856.7738699997</v>
      </c>
      <c r="CZ16" s="24">
        <f>2190698382.04/1000</f>
        <v>2190698.3820400001</v>
      </c>
      <c r="DA16" s="24">
        <f>2214921589.1/1000</f>
        <v>2214921.5891</v>
      </c>
      <c r="DB16" s="24">
        <v>2221090.6838600002</v>
      </c>
      <c r="DC16" s="24">
        <f>2266381410.33/1000</f>
        <v>2266381.4103299999</v>
      </c>
      <c r="DD16" s="24">
        <f>2291696757.99/1000</f>
        <v>2291696.7579899998</v>
      </c>
      <c r="DE16" s="24">
        <f>2297067597.96/1000</f>
        <v>2297067.5979599999</v>
      </c>
      <c r="DF16" s="24">
        <v>2341176.4616100001</v>
      </c>
      <c r="DG16" s="24">
        <f>2353587111.45/1000</f>
        <v>2353587.1114499997</v>
      </c>
      <c r="DH16" s="24">
        <v>2379240.2851499999</v>
      </c>
      <c r="DI16" s="24">
        <v>2405334.9363800003</v>
      </c>
      <c r="DJ16" s="24">
        <v>2431788.3573400001</v>
      </c>
      <c r="DK16" s="24">
        <v>2456601.8615399995</v>
      </c>
      <c r="DL16" s="24">
        <v>2470426.8567099995</v>
      </c>
      <c r="DM16" s="24">
        <v>2506373.3816499999</v>
      </c>
      <c r="DN16" s="24">
        <v>2535329.6039299993</v>
      </c>
      <c r="DO16" s="24">
        <v>2562439.5691999998</v>
      </c>
      <c r="DP16" s="24">
        <v>2589769.2833799995</v>
      </c>
      <c r="DQ16" s="24">
        <v>2599684.9661699999</v>
      </c>
      <c r="DR16" s="24">
        <v>2609915.6831999999</v>
      </c>
      <c r="DS16" s="24">
        <v>2604814.4384600003</v>
      </c>
      <c r="DT16" s="24">
        <v>2617575.1061600004</v>
      </c>
      <c r="DU16" s="24">
        <v>2630698.1980800005</v>
      </c>
      <c r="DV16" s="24">
        <v>2646651.13827</v>
      </c>
      <c r="DW16" s="24">
        <v>2660622.3375599994</v>
      </c>
      <c r="DX16" s="24">
        <v>2674704.8759599999</v>
      </c>
      <c r="DY16" s="24">
        <v>2688417.1126100002</v>
      </c>
      <c r="DZ16" s="24">
        <v>2702493.75929</v>
      </c>
      <c r="EA16" s="24">
        <v>2715719.4131000005</v>
      </c>
      <c r="EB16" s="24">
        <v>2728601.08177</v>
      </c>
      <c r="EC16" s="24">
        <v>2742999.9857999999</v>
      </c>
      <c r="ED16" s="24">
        <v>2756488.8262700005</v>
      </c>
      <c r="EE16" s="24">
        <v>2754159.0456400001</v>
      </c>
      <c r="EF16" s="24">
        <v>2767723.0469100005</v>
      </c>
      <c r="EG16" s="24">
        <v>2781123.2019500001</v>
      </c>
      <c r="EH16" s="24">
        <v>2791402.2672600001</v>
      </c>
      <c r="EI16" s="24">
        <v>2808459.53051</v>
      </c>
      <c r="EJ16" s="24">
        <v>2822646.9521999997</v>
      </c>
      <c r="EK16" s="24">
        <v>2836835.7571999999</v>
      </c>
      <c r="EL16" s="24">
        <v>2851884.6269800002</v>
      </c>
      <c r="EM16" s="24">
        <v>2868807.9986799997</v>
      </c>
      <c r="EN16" s="24">
        <v>2881297.7081099995</v>
      </c>
      <c r="EO16" s="24">
        <v>2901940.5965</v>
      </c>
      <c r="EP16" s="24">
        <v>2919257.9895600001</v>
      </c>
      <c r="EQ16" s="24">
        <v>2918991.8511700002</v>
      </c>
      <c r="ER16" s="24">
        <v>2937075.3516700002</v>
      </c>
      <c r="ES16" s="24">
        <v>2953597.5760300001</v>
      </c>
      <c r="ET16" s="24">
        <v>2970687.7134400001</v>
      </c>
      <c r="EU16" s="24">
        <v>3012028.66921</v>
      </c>
      <c r="EV16" s="24">
        <v>3014836.7925999998</v>
      </c>
      <c r="EW16" s="24">
        <v>3026349.6624300005</v>
      </c>
      <c r="EX16" s="24">
        <v>3044563.8902200004</v>
      </c>
      <c r="EY16" s="24">
        <v>3062135.1282500001</v>
      </c>
      <c r="EZ16" s="24">
        <v>3079453.1903199996</v>
      </c>
      <c r="FA16" s="24">
        <v>3097115.8989499998</v>
      </c>
      <c r="FB16" s="24">
        <v>3115511.64928</v>
      </c>
      <c r="FC16" s="24">
        <v>3102980.8173500006</v>
      </c>
      <c r="FD16" s="24">
        <v>3122783.9925300004</v>
      </c>
      <c r="FE16" s="24">
        <v>3141833.6684700004</v>
      </c>
    </row>
    <row r="17" spans="2:161" x14ac:dyDescent="0.3">
      <c r="B17" s="27"/>
      <c r="C17" s="2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v>0</v>
      </c>
      <c r="AX17" s="49">
        <v>0</v>
      </c>
      <c r="AY17" s="49">
        <v>0</v>
      </c>
      <c r="AZ17" s="49">
        <v>0</v>
      </c>
      <c r="BA17" s="49">
        <v>0</v>
      </c>
      <c r="BB17" s="49">
        <v>0</v>
      </c>
      <c r="BC17" s="49">
        <v>0</v>
      </c>
      <c r="BD17" s="49">
        <v>0</v>
      </c>
      <c r="BE17" s="49">
        <v>0</v>
      </c>
      <c r="BF17" s="49">
        <v>0</v>
      </c>
      <c r="BG17" s="49">
        <v>0</v>
      </c>
      <c r="BH17" s="49">
        <v>0</v>
      </c>
      <c r="BI17" s="49">
        <v>0</v>
      </c>
      <c r="BJ17" s="49">
        <v>0</v>
      </c>
      <c r="BK17" s="49">
        <v>0</v>
      </c>
      <c r="BL17" s="49">
        <v>0</v>
      </c>
      <c r="BM17" s="22">
        <v>0</v>
      </c>
      <c r="BN17" s="22"/>
      <c r="BO17" s="22"/>
      <c r="BP17" s="22">
        <v>0</v>
      </c>
      <c r="BQ17" s="22">
        <v>0</v>
      </c>
      <c r="BR17" s="22">
        <v>0</v>
      </c>
      <c r="BS17" s="22">
        <v>0</v>
      </c>
      <c r="BT17" s="22"/>
      <c r="BU17" s="22"/>
      <c r="BV17" s="22"/>
      <c r="BW17" s="22"/>
      <c r="BX17" s="22"/>
      <c r="BY17" s="22">
        <v>0</v>
      </c>
      <c r="BZ17" s="22">
        <v>0</v>
      </c>
      <c r="CA17" s="22">
        <v>0</v>
      </c>
      <c r="CB17" s="22">
        <v>0</v>
      </c>
      <c r="CC17" s="22">
        <v>0</v>
      </c>
      <c r="CD17" s="22">
        <v>0</v>
      </c>
      <c r="CE17" s="22">
        <v>0</v>
      </c>
      <c r="CF17" s="22"/>
      <c r="CG17" s="22"/>
      <c r="CH17" s="22"/>
      <c r="CI17" s="22"/>
      <c r="CJ17" s="22">
        <v>0</v>
      </c>
      <c r="CK17" s="22"/>
      <c r="CL17" s="22"/>
      <c r="CM17" s="22">
        <v>0</v>
      </c>
      <c r="CN17" s="22"/>
      <c r="CO17" s="22"/>
      <c r="CP17" s="22">
        <v>0</v>
      </c>
      <c r="CQ17" s="22">
        <v>0</v>
      </c>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v>0</v>
      </c>
      <c r="ER17" s="22">
        <v>0</v>
      </c>
      <c r="ES17" s="22">
        <v>0</v>
      </c>
      <c r="ET17" s="22">
        <v>0</v>
      </c>
      <c r="EU17" s="22">
        <v>0</v>
      </c>
      <c r="EV17" s="22">
        <v>0</v>
      </c>
      <c r="EW17" s="22">
        <v>0</v>
      </c>
      <c r="EX17" s="22">
        <v>0</v>
      </c>
      <c r="EY17" s="22">
        <v>0</v>
      </c>
      <c r="EZ17" s="22">
        <v>0</v>
      </c>
      <c r="FA17" s="22">
        <v>0</v>
      </c>
      <c r="FB17" s="22">
        <v>0</v>
      </c>
      <c r="FC17" s="22">
        <v>0</v>
      </c>
      <c r="FD17" s="22">
        <v>0</v>
      </c>
      <c r="FE17" s="22">
        <v>0</v>
      </c>
    </row>
    <row r="18" spans="2:161" x14ac:dyDescent="0.3">
      <c r="B18" s="32">
        <v>2</v>
      </c>
      <c r="C18" s="33" t="s">
        <v>27</v>
      </c>
      <c r="D18" s="52">
        <v>7.7521199999999997</v>
      </c>
      <c r="E18" s="52">
        <v>6.02407</v>
      </c>
      <c r="F18" s="52">
        <v>13.40179</v>
      </c>
      <c r="G18" s="52">
        <v>13.779879999999999</v>
      </c>
      <c r="H18" s="52">
        <v>12.8058</v>
      </c>
      <c r="I18" s="52">
        <v>12.228399999999999</v>
      </c>
      <c r="J18" s="52">
        <v>68250.706540000014</v>
      </c>
      <c r="K18" s="52">
        <v>69892.042879999994</v>
      </c>
      <c r="L18" s="52">
        <v>71573.321159999992</v>
      </c>
      <c r="M18" s="52">
        <v>73308.317810000008</v>
      </c>
      <c r="N18" s="52">
        <v>73886.83524</v>
      </c>
      <c r="O18" s="52">
        <v>74462.257830000002</v>
      </c>
      <c r="P18" s="52">
        <v>75062.699540000001</v>
      </c>
      <c r="Q18" s="52">
        <v>75590.381900000008</v>
      </c>
      <c r="R18" s="52">
        <v>110.5861</v>
      </c>
      <c r="S18" s="52">
        <v>97.372969999999995</v>
      </c>
      <c r="T18" s="52">
        <v>98.739249999999998</v>
      </c>
      <c r="U18" s="52">
        <v>112.98889</v>
      </c>
      <c r="V18" s="52">
        <v>15.077789999999998</v>
      </c>
      <c r="W18" s="52">
        <v>14.82864</v>
      </c>
      <c r="X18" s="52">
        <v>13.68582</v>
      </c>
      <c r="Y18" s="52">
        <v>34.783299999999997</v>
      </c>
      <c r="Z18" s="52">
        <v>45.220459999999996</v>
      </c>
      <c r="AA18" s="52">
        <v>35.247459999999997</v>
      </c>
      <c r="AB18" s="52">
        <v>5014.8201200000003</v>
      </c>
      <c r="AC18" s="52">
        <v>5014.0560099999993</v>
      </c>
      <c r="AD18" s="52">
        <v>15.572119999999998</v>
      </c>
      <c r="AE18" s="52">
        <v>15.718819999999999</v>
      </c>
      <c r="AF18" s="52">
        <v>16.385300000000004</v>
      </c>
      <c r="AG18" s="52">
        <v>39.52355</v>
      </c>
      <c r="AH18" s="52">
        <v>14.658100000000001</v>
      </c>
      <c r="AI18" s="52">
        <v>15.017520000000001</v>
      </c>
      <c r="AJ18" s="52">
        <v>14.928510000000001</v>
      </c>
      <c r="AK18" s="52">
        <v>15.06142</v>
      </c>
      <c r="AL18" s="52">
        <v>12.99868</v>
      </c>
      <c r="AM18" s="52">
        <v>16.890730000000005</v>
      </c>
      <c r="AN18" s="52">
        <v>15.203430000000001</v>
      </c>
      <c r="AO18" s="52">
        <v>14.655010000000001</v>
      </c>
      <c r="AP18" s="52">
        <v>15.50967</v>
      </c>
      <c r="AQ18" s="52">
        <v>14.53758</v>
      </c>
      <c r="AR18" s="52">
        <v>27.772190000000002</v>
      </c>
      <c r="AS18" s="52">
        <v>13.023239999999999</v>
      </c>
      <c r="AT18" s="52">
        <v>25.39958</v>
      </c>
      <c r="AU18" s="52">
        <v>12.830879999999999</v>
      </c>
      <c r="AV18" s="52">
        <v>288.45690999999999</v>
      </c>
      <c r="AW18" s="52">
        <v>430.23361999999997</v>
      </c>
      <c r="AX18" s="52">
        <v>576.27703000000008</v>
      </c>
      <c r="AY18" s="52">
        <v>718.69619999999998</v>
      </c>
      <c r="AZ18" s="52">
        <v>479.84138999999999</v>
      </c>
      <c r="BA18" s="52">
        <v>345.65156999999999</v>
      </c>
      <c r="BB18" s="52">
        <v>197.91374999999999</v>
      </c>
      <c r="BC18" s="52">
        <v>1619.2226699999999</v>
      </c>
      <c r="BD18" s="52">
        <v>1636.34609</v>
      </c>
      <c r="BE18" s="52">
        <v>1648.42156</v>
      </c>
      <c r="BF18" s="52">
        <v>1547.4877799999999</v>
      </c>
      <c r="BG18" s="52">
        <v>1137.6646899999998</v>
      </c>
      <c r="BH18" s="52">
        <v>1125.3059699999999</v>
      </c>
      <c r="BI18" s="52">
        <v>1165.2583300000001</v>
      </c>
      <c r="BJ18" s="52">
        <v>1200.9729299999999</v>
      </c>
      <c r="BK18" s="52">
        <v>1243.7584899999999</v>
      </c>
      <c r="BL18" s="52">
        <v>1233.3545800000002</v>
      </c>
      <c r="BM18" s="22">
        <v>1185.1203400000002</v>
      </c>
      <c r="BN18" s="22">
        <v>1147.70066</v>
      </c>
      <c r="BO18" s="22">
        <v>1181.6538400000002</v>
      </c>
      <c r="BP18" s="22">
        <v>1203.6864699999999</v>
      </c>
      <c r="BQ18" s="22">
        <v>1242.3423700000001</v>
      </c>
      <c r="BR18" s="22">
        <v>1240.9018000000001</v>
      </c>
      <c r="BS18" s="22">
        <v>1188.17543</v>
      </c>
      <c r="BT18" s="22">
        <v>1204.0176100000001</v>
      </c>
      <c r="BU18" s="22">
        <v>1263.0219</v>
      </c>
      <c r="BV18" s="22">
        <v>1300.20604</v>
      </c>
      <c r="BW18" s="22">
        <v>1232.86268</v>
      </c>
      <c r="BX18" s="22">
        <v>1268.07826</v>
      </c>
      <c r="BY18" s="22">
        <v>1292.3129199999998</v>
      </c>
      <c r="BZ18" s="22">
        <v>1271.81449</v>
      </c>
      <c r="CA18" s="22">
        <v>1327.5010400000001</v>
      </c>
      <c r="CB18" s="22">
        <v>1391.8067100000001</v>
      </c>
      <c r="CC18" s="22">
        <v>1322.7688000000001</v>
      </c>
      <c r="CD18" s="22">
        <v>1444.6949199999999</v>
      </c>
      <c r="CE18" s="22">
        <v>1426.03819</v>
      </c>
      <c r="CF18" s="22">
        <v>1413.7851799999999</v>
      </c>
      <c r="CG18" s="22">
        <v>1115.77782</v>
      </c>
      <c r="CH18" s="22">
        <v>1156.4586000000002</v>
      </c>
      <c r="CI18" s="22">
        <v>1073.8777600000001</v>
      </c>
      <c r="CJ18" s="22">
        <v>1053.3203700000001</v>
      </c>
      <c r="CK18" s="22">
        <v>1002.6991400000001</v>
      </c>
      <c r="CL18" s="22">
        <v>991.83067000000005</v>
      </c>
      <c r="CM18" s="22">
        <v>1017.0301800000001</v>
      </c>
      <c r="CN18" s="22">
        <v>1068.26855</v>
      </c>
      <c r="CO18" s="22">
        <v>1106.6307400000001</v>
      </c>
      <c r="CP18" s="22">
        <v>1162.2261699999999</v>
      </c>
      <c r="CQ18" s="22">
        <v>1108.07026</v>
      </c>
      <c r="CR18" s="22">
        <v>1176.8873100000001</v>
      </c>
      <c r="CS18" s="22">
        <v>1241.44975</v>
      </c>
      <c r="CT18" s="22">
        <v>1204.75468</v>
      </c>
      <c r="CU18" s="22">
        <v>1073.9158799999998</v>
      </c>
      <c r="CV18" s="22">
        <v>996.76373999999998</v>
      </c>
      <c r="CW18" s="22">
        <v>1023.16977</v>
      </c>
      <c r="CX18" s="22">
        <v>988.39738999999997</v>
      </c>
      <c r="CY18" s="22">
        <f>1146339.44/1000</f>
        <v>1146.33944</v>
      </c>
      <c r="CZ18" s="22">
        <f>999995.88/1000</f>
        <v>999.99588000000006</v>
      </c>
      <c r="DA18" s="22">
        <f>925564.52/1000</f>
        <v>925.56452000000002</v>
      </c>
      <c r="DB18" s="22">
        <v>970.53246999999999</v>
      </c>
      <c r="DC18" s="22">
        <f>1018676.43/1000</f>
        <v>1018.6764300000001</v>
      </c>
      <c r="DD18" s="22">
        <f>1125989.46/1000</f>
        <v>1125.98946</v>
      </c>
      <c r="DE18" s="22">
        <f>1061437.52/1000</f>
        <v>1061.4375199999999</v>
      </c>
      <c r="DF18" s="22">
        <v>1094.7135499999999</v>
      </c>
      <c r="DG18" s="22">
        <f>1072312.01/1000</f>
        <v>1072.3120100000001</v>
      </c>
      <c r="DH18" s="22">
        <v>1111.5490300000001</v>
      </c>
      <c r="DI18" s="22">
        <v>1241.95027</v>
      </c>
      <c r="DJ18" s="22">
        <v>1263.45021</v>
      </c>
      <c r="DK18" s="22">
        <v>1022.32131</v>
      </c>
      <c r="DL18" s="22">
        <v>973.70487000000003</v>
      </c>
      <c r="DM18" s="22">
        <v>1035.5924</v>
      </c>
      <c r="DN18" s="22">
        <v>1157.1363999999999</v>
      </c>
      <c r="DO18" s="22">
        <v>1209.34249</v>
      </c>
      <c r="DP18" s="22">
        <v>1336.4761799999999</v>
      </c>
      <c r="DQ18" s="22">
        <v>1318.4288799999999</v>
      </c>
      <c r="DR18" s="22">
        <v>1184.91527</v>
      </c>
      <c r="DS18" s="22">
        <v>3509.7158100000001</v>
      </c>
      <c r="DT18" s="22">
        <v>1152.20712</v>
      </c>
      <c r="DU18" s="22">
        <v>1330.4506899999999</v>
      </c>
      <c r="DV18" s="22">
        <v>1321.65571</v>
      </c>
      <c r="DW18" s="22">
        <v>1339.1841999999999</v>
      </c>
      <c r="DX18" s="22">
        <v>1337.86106</v>
      </c>
      <c r="DY18" s="22">
        <v>1356.6169</v>
      </c>
      <c r="DZ18" s="22">
        <v>1441.64465</v>
      </c>
      <c r="EA18" s="22">
        <v>1519.9530300000001</v>
      </c>
      <c r="EB18" s="22">
        <v>1502.78188</v>
      </c>
      <c r="EC18" s="22">
        <v>1543.0667699999999</v>
      </c>
      <c r="ED18" s="22">
        <v>1452.4061399999998</v>
      </c>
      <c r="EE18" s="22">
        <v>1389.4476200000001</v>
      </c>
      <c r="EF18" s="22">
        <v>1499.8996000000002</v>
      </c>
      <c r="EG18" s="22">
        <v>1631.0759499999999</v>
      </c>
      <c r="EH18" s="22">
        <v>1565.2355700000001</v>
      </c>
      <c r="EI18" s="22">
        <v>1527.6181299999998</v>
      </c>
      <c r="EJ18" s="22">
        <v>1466.34744</v>
      </c>
      <c r="EK18" s="22">
        <v>1457.8336899999999</v>
      </c>
      <c r="EL18" s="22">
        <v>1502.48028</v>
      </c>
      <c r="EM18" s="22">
        <v>1621.77034</v>
      </c>
      <c r="EN18" s="22">
        <v>1603.1725900000001</v>
      </c>
      <c r="EO18" s="22">
        <v>1600.59593</v>
      </c>
      <c r="EP18" s="22">
        <v>1507.5644600000001</v>
      </c>
      <c r="EQ18" s="22">
        <v>1556.4839899999999</v>
      </c>
      <c r="ER18" s="22">
        <v>1111.4158500000001</v>
      </c>
      <c r="ES18" s="22">
        <v>1227.39805</v>
      </c>
      <c r="ET18" s="22">
        <v>1177.1762200000001</v>
      </c>
      <c r="EU18" s="22">
        <v>25330.66864</v>
      </c>
      <c r="EV18" s="22">
        <v>10892.48826</v>
      </c>
      <c r="EW18" s="22">
        <v>3888.5756699999997</v>
      </c>
      <c r="EX18" s="22">
        <v>3223.7198599999997</v>
      </c>
      <c r="EY18" s="22">
        <v>2912.1873999999998</v>
      </c>
      <c r="EZ18" s="22">
        <v>2604.18631</v>
      </c>
      <c r="FA18" s="22">
        <v>2505.10293</v>
      </c>
      <c r="FB18" s="22">
        <v>1803.53206</v>
      </c>
      <c r="FC18" s="22">
        <v>1792.1881100000001</v>
      </c>
      <c r="FD18" s="22">
        <v>1828.6644699999999</v>
      </c>
      <c r="FE18" s="22">
        <v>9251.9590200000002</v>
      </c>
    </row>
    <row r="19" spans="2:161" x14ac:dyDescent="0.3">
      <c r="B19" s="32" t="s">
        <v>28</v>
      </c>
      <c r="C19" s="34" t="s">
        <v>32</v>
      </c>
      <c r="D19" s="53">
        <v>7.7521199999999997</v>
      </c>
      <c r="E19" s="53">
        <v>6.02407</v>
      </c>
      <c r="F19" s="53">
        <v>13.40179</v>
      </c>
      <c r="G19" s="53">
        <v>13.779879999999999</v>
      </c>
      <c r="H19" s="53">
        <v>12.8058</v>
      </c>
      <c r="I19" s="53">
        <v>12.228399999999999</v>
      </c>
      <c r="J19" s="53">
        <v>0</v>
      </c>
      <c r="K19" s="53">
        <v>69892.042879999994</v>
      </c>
      <c r="L19" s="53">
        <v>0</v>
      </c>
      <c r="M19" s="53">
        <v>0</v>
      </c>
      <c r="N19" s="53">
        <v>0</v>
      </c>
      <c r="O19" s="53">
        <v>74462.257830000002</v>
      </c>
      <c r="P19" s="53">
        <v>75062.699540000001</v>
      </c>
      <c r="Q19" s="53">
        <v>75590.381900000008</v>
      </c>
      <c r="R19" s="53">
        <v>110.58586</v>
      </c>
      <c r="S19" s="53">
        <v>97.37272999999999</v>
      </c>
      <c r="T19" s="53">
        <v>98.739009999999993</v>
      </c>
      <c r="U19" s="53">
        <v>112.98864999999999</v>
      </c>
      <c r="V19" s="53">
        <v>15.077549999999999</v>
      </c>
      <c r="W19" s="53">
        <v>14.8284</v>
      </c>
      <c r="X19" s="53">
        <v>13.68558</v>
      </c>
      <c r="Y19" s="53">
        <v>34.783059999999999</v>
      </c>
      <c r="Z19" s="53">
        <v>45.220219999999998</v>
      </c>
      <c r="AA19" s="53">
        <v>35.247219999999999</v>
      </c>
      <c r="AB19" s="53">
        <v>14.819879999999999</v>
      </c>
      <c r="AC19" s="53">
        <v>14.055770000000001</v>
      </c>
      <c r="AD19" s="53">
        <v>15.571879999999998</v>
      </c>
      <c r="AE19" s="53">
        <v>15.718579999999999</v>
      </c>
      <c r="AF19" s="53">
        <v>16.385060000000003</v>
      </c>
      <c r="AG19" s="53">
        <v>15.63128</v>
      </c>
      <c r="AH19" s="53">
        <v>14.657860000000001</v>
      </c>
      <c r="AI19" s="53">
        <v>15.017280000000001</v>
      </c>
      <c r="AJ19" s="53">
        <v>14.928270000000001</v>
      </c>
      <c r="AK19" s="53">
        <v>15.06118</v>
      </c>
      <c r="AL19" s="53">
        <v>12.99844</v>
      </c>
      <c r="AM19" s="53">
        <v>16.890490000000003</v>
      </c>
      <c r="AN19" s="53">
        <v>15.203190000000001</v>
      </c>
      <c r="AO19" s="53">
        <v>14.654770000000001</v>
      </c>
      <c r="AP19" s="53">
        <v>15.50943</v>
      </c>
      <c r="AQ19" s="53">
        <v>14.53734</v>
      </c>
      <c r="AR19" s="53">
        <v>27.77195</v>
      </c>
      <c r="AS19" s="53">
        <v>13.023</v>
      </c>
      <c r="AT19" s="53">
        <v>25.399339999999999</v>
      </c>
      <c r="AU19" s="53">
        <v>12.830639999999999</v>
      </c>
      <c r="AV19" s="53">
        <v>288.45666999999997</v>
      </c>
      <c r="AW19" s="53">
        <v>430.23338000000001</v>
      </c>
      <c r="AX19" s="53">
        <v>576.27703000000008</v>
      </c>
      <c r="AY19" s="53">
        <v>718.69619999999998</v>
      </c>
      <c r="AZ19" s="53">
        <v>479.84138999999999</v>
      </c>
      <c r="BA19" s="53">
        <v>345.65156999999999</v>
      </c>
      <c r="BB19" s="53">
        <v>197.91374999999999</v>
      </c>
      <c r="BC19" s="53">
        <v>1619.2226699999999</v>
      </c>
      <c r="BD19" s="53">
        <v>1636.34609</v>
      </c>
      <c r="BE19" s="53">
        <v>1648.42156</v>
      </c>
      <c r="BF19" s="53">
        <v>1547.4877799999999</v>
      </c>
      <c r="BG19" s="53">
        <v>1137.6646899999998</v>
      </c>
      <c r="BH19" s="53">
        <v>1125.3059699999999</v>
      </c>
      <c r="BI19" s="53">
        <v>1165.2583300000001</v>
      </c>
      <c r="BJ19" s="53">
        <v>1200.9729299999999</v>
      </c>
      <c r="BK19" s="53">
        <v>1243.7584899999999</v>
      </c>
      <c r="BL19" s="53">
        <v>1233.3545800000002</v>
      </c>
      <c r="BM19" s="23">
        <v>1185.1203400000002</v>
      </c>
      <c r="BN19" s="23">
        <v>1147.70066</v>
      </c>
      <c r="BO19" s="23">
        <v>1181.6538400000002</v>
      </c>
      <c r="BP19" s="23">
        <v>1203.6864699999999</v>
      </c>
      <c r="BQ19" s="23">
        <v>1242.3423700000001</v>
      </c>
      <c r="BR19" s="23">
        <v>1240.9018000000001</v>
      </c>
      <c r="BS19" s="23">
        <v>1188.17543</v>
      </c>
      <c r="BT19" s="23">
        <v>1204.0176100000001</v>
      </c>
      <c r="BU19" s="23">
        <v>1263.0219</v>
      </c>
      <c r="BV19" s="23">
        <v>1300.20604</v>
      </c>
      <c r="BW19" s="23">
        <v>1232.86268</v>
      </c>
      <c r="BX19" s="23">
        <v>1268.07826</v>
      </c>
      <c r="BY19" s="23">
        <v>1292.3129199999998</v>
      </c>
      <c r="BZ19" s="23">
        <v>1271.81449</v>
      </c>
      <c r="CA19" s="23">
        <v>1327.5010400000001</v>
      </c>
      <c r="CB19" s="23">
        <v>1391.8067100000001</v>
      </c>
      <c r="CC19" s="23">
        <v>1322.7688000000001</v>
      </c>
      <c r="CD19" s="23">
        <v>1444.6949199999999</v>
      </c>
      <c r="CE19" s="23">
        <v>1426.03819</v>
      </c>
      <c r="CF19" s="23">
        <v>1413.7851799999999</v>
      </c>
      <c r="CG19" s="23">
        <v>1115.77782</v>
      </c>
      <c r="CH19" s="23">
        <v>1156.4586000000002</v>
      </c>
      <c r="CI19" s="23">
        <v>1073.8777600000001</v>
      </c>
      <c r="CJ19" s="23">
        <v>1053.3203700000001</v>
      </c>
      <c r="CK19" s="23">
        <v>1002.6991400000001</v>
      </c>
      <c r="CL19" s="23">
        <v>991.83067000000005</v>
      </c>
      <c r="CM19" s="23">
        <v>1017.0301800000001</v>
      </c>
      <c r="CN19" s="23">
        <v>1068.26855</v>
      </c>
      <c r="CO19" s="23">
        <v>1106.6307400000001</v>
      </c>
      <c r="CP19" s="23">
        <v>1162.2261699999999</v>
      </c>
      <c r="CQ19" s="23">
        <v>1108.07026</v>
      </c>
      <c r="CR19" s="23">
        <v>1176.8873100000001</v>
      </c>
      <c r="CS19" s="23">
        <v>1241.44975</v>
      </c>
      <c r="CT19" s="23">
        <v>1204.75468</v>
      </c>
      <c r="CU19" s="23">
        <v>1073.9158799999998</v>
      </c>
      <c r="CV19" s="23">
        <v>996.76373999999998</v>
      </c>
      <c r="CW19" s="23">
        <v>1023.16977</v>
      </c>
      <c r="CX19" s="23">
        <v>988.39738999999997</v>
      </c>
      <c r="CY19" s="23">
        <f>1146339.44/1000</f>
        <v>1146.33944</v>
      </c>
      <c r="CZ19" s="23">
        <f>999995.88/1000</f>
        <v>999.99588000000006</v>
      </c>
      <c r="DA19" s="23">
        <f>925564.52/1000</f>
        <v>925.56452000000002</v>
      </c>
      <c r="DB19" s="23">
        <v>970.53246999999999</v>
      </c>
      <c r="DC19" s="23">
        <f>1018676.43/1000</f>
        <v>1018.6764300000001</v>
      </c>
      <c r="DD19" s="23">
        <f>1125989.46/1000</f>
        <v>1125.98946</v>
      </c>
      <c r="DE19" s="23">
        <f>1061437.52/1000</f>
        <v>1061.4375199999999</v>
      </c>
      <c r="DF19" s="23">
        <v>1094.7135499999999</v>
      </c>
      <c r="DG19" s="23">
        <f>1072312.01/1000</f>
        <v>1072.3120100000001</v>
      </c>
      <c r="DH19" s="23">
        <v>1111.5490300000001</v>
      </c>
      <c r="DI19" s="23">
        <v>1241.95027</v>
      </c>
      <c r="DJ19" s="23">
        <v>1263.45021</v>
      </c>
      <c r="DK19" s="23">
        <v>1022.32131</v>
      </c>
      <c r="DL19" s="23">
        <v>973.70487000000003</v>
      </c>
      <c r="DM19" s="23">
        <v>1035.5924</v>
      </c>
      <c r="DN19" s="23">
        <v>1157.1363999999999</v>
      </c>
      <c r="DO19" s="23">
        <v>1209.34249</v>
      </c>
      <c r="DP19" s="23">
        <v>1336.4761799999999</v>
      </c>
      <c r="DQ19" s="23">
        <v>1318.4288799999999</v>
      </c>
      <c r="DR19" s="23">
        <v>1184.91527</v>
      </c>
      <c r="DS19" s="23">
        <v>3509.7158100000001</v>
      </c>
      <c r="DT19" s="23">
        <v>1152.20712</v>
      </c>
      <c r="DU19" s="23">
        <v>1330.4506899999999</v>
      </c>
      <c r="DV19" s="23">
        <v>1321.65571</v>
      </c>
      <c r="DW19" s="23">
        <v>1339.1841999999999</v>
      </c>
      <c r="DX19" s="23">
        <v>1337.86106</v>
      </c>
      <c r="DY19" s="23">
        <v>1356.6169</v>
      </c>
      <c r="DZ19" s="23">
        <v>1441.64465</v>
      </c>
      <c r="EA19" s="23">
        <v>1519.9530300000001</v>
      </c>
      <c r="EB19" s="23">
        <v>1502.78188</v>
      </c>
      <c r="EC19" s="23">
        <v>1543.0667699999999</v>
      </c>
      <c r="ED19" s="23">
        <v>1452.4061399999998</v>
      </c>
      <c r="EE19" s="23">
        <v>1389.4476200000001</v>
      </c>
      <c r="EF19" s="23">
        <v>1499.8996000000002</v>
      </c>
      <c r="EG19" s="23">
        <v>1631.0759499999999</v>
      </c>
      <c r="EH19" s="23">
        <v>1565.2355700000001</v>
      </c>
      <c r="EI19" s="23">
        <v>1527.6181299999998</v>
      </c>
      <c r="EJ19" s="23">
        <v>1466.34744</v>
      </c>
      <c r="EK19" s="23">
        <v>1457.8336899999999</v>
      </c>
      <c r="EL19" s="23">
        <v>1502.48028</v>
      </c>
      <c r="EM19" s="23">
        <v>1621.77034</v>
      </c>
      <c r="EN19" s="23">
        <v>1603.1725900000001</v>
      </c>
      <c r="EO19" s="23">
        <v>1600.59593</v>
      </c>
      <c r="EP19" s="23">
        <v>1507.5644600000001</v>
      </c>
      <c r="EQ19" s="23">
        <v>1556.4839899999999</v>
      </c>
      <c r="ER19" s="23">
        <v>1111.4158500000001</v>
      </c>
      <c r="ES19" s="23">
        <v>1227.39805</v>
      </c>
      <c r="ET19" s="23">
        <v>1177.1762200000001</v>
      </c>
      <c r="EU19" s="23">
        <v>25330.66864</v>
      </c>
      <c r="EV19" s="23">
        <v>10892.48826</v>
      </c>
      <c r="EW19" s="23">
        <v>3888.5756699999997</v>
      </c>
      <c r="EX19" s="23">
        <v>3223.7198599999997</v>
      </c>
      <c r="EY19" s="23">
        <v>2912.1873999999998</v>
      </c>
      <c r="EZ19" s="23">
        <v>2604.18631</v>
      </c>
      <c r="FA19" s="23">
        <v>2505.10293</v>
      </c>
      <c r="FB19" s="23">
        <v>1803.53206</v>
      </c>
      <c r="FC19" s="23">
        <v>1792.1881100000001</v>
      </c>
      <c r="FD19" s="23">
        <v>1828.6644699999999</v>
      </c>
      <c r="FE19" s="23">
        <v>9251.9590200000002</v>
      </c>
    </row>
    <row r="20" spans="2:161" x14ac:dyDescent="0.3">
      <c r="B20" s="32" t="s">
        <v>29</v>
      </c>
      <c r="C20" s="34" t="s">
        <v>30</v>
      </c>
      <c r="D20" s="53">
        <v>0</v>
      </c>
      <c r="E20" s="53">
        <v>0</v>
      </c>
      <c r="F20" s="53">
        <v>0</v>
      </c>
      <c r="G20" s="53">
        <v>0</v>
      </c>
      <c r="H20" s="53">
        <v>0</v>
      </c>
      <c r="I20" s="53">
        <v>0</v>
      </c>
      <c r="J20" s="53">
        <v>68250.706540000014</v>
      </c>
      <c r="K20" s="53">
        <v>0</v>
      </c>
      <c r="L20" s="53">
        <v>71573.321159999992</v>
      </c>
      <c r="M20" s="53">
        <v>73308.317810000008</v>
      </c>
      <c r="N20" s="53">
        <v>73886.83524</v>
      </c>
      <c r="O20" s="53">
        <v>0</v>
      </c>
      <c r="P20" s="53">
        <v>0</v>
      </c>
      <c r="Q20" s="53">
        <v>0</v>
      </c>
      <c r="R20" s="53">
        <v>2.3999999999999998E-4</v>
      </c>
      <c r="S20" s="53">
        <v>2.3999999999999998E-4</v>
      </c>
      <c r="T20" s="53">
        <v>2.3999999999999998E-4</v>
      </c>
      <c r="U20" s="53">
        <v>2.3999999999999998E-4</v>
      </c>
      <c r="V20" s="53">
        <v>2.3999999999999998E-4</v>
      </c>
      <c r="W20" s="53">
        <v>2.3999999999999998E-4</v>
      </c>
      <c r="X20" s="53">
        <v>2.3999999999999998E-4</v>
      </c>
      <c r="Y20" s="53">
        <v>2.3999999999999998E-4</v>
      </c>
      <c r="Z20" s="53">
        <v>2.3999999999999998E-4</v>
      </c>
      <c r="AA20" s="53">
        <v>2.3999999999999998E-4</v>
      </c>
      <c r="AB20" s="53">
        <v>5000.0002400000003</v>
      </c>
      <c r="AC20" s="53">
        <v>5000.0002400000003</v>
      </c>
      <c r="AD20" s="53">
        <v>2.3999999999999998E-4</v>
      </c>
      <c r="AE20" s="53">
        <v>2.3999999999999998E-4</v>
      </c>
      <c r="AF20" s="53">
        <v>2.3999999999999998E-4</v>
      </c>
      <c r="AG20" s="53">
        <v>23.89227</v>
      </c>
      <c r="AH20" s="53">
        <v>2.3999999999999998E-4</v>
      </c>
      <c r="AI20" s="53">
        <v>2.3999999999999998E-4</v>
      </c>
      <c r="AJ20" s="53">
        <v>2.3999999999999998E-4</v>
      </c>
      <c r="AK20" s="53">
        <v>2.3999999999999998E-4</v>
      </c>
      <c r="AL20" s="53">
        <v>2.3999999999999998E-4</v>
      </c>
      <c r="AM20" s="53">
        <v>2.3999999999999998E-4</v>
      </c>
      <c r="AN20" s="53">
        <v>2.3999999999999998E-4</v>
      </c>
      <c r="AO20" s="53">
        <v>2.3999999999999998E-4</v>
      </c>
      <c r="AP20" s="53">
        <v>2.3999999999999998E-4</v>
      </c>
      <c r="AQ20" s="53">
        <v>2.3999999999999998E-4</v>
      </c>
      <c r="AR20" s="53">
        <v>2.3999999999999998E-4</v>
      </c>
      <c r="AS20" s="53">
        <v>2.3999999999999998E-4</v>
      </c>
      <c r="AT20" s="53">
        <v>2.3999999999999998E-4</v>
      </c>
      <c r="AU20" s="53">
        <v>2.3999999999999998E-4</v>
      </c>
      <c r="AV20" s="53">
        <v>2.3999999999999998E-4</v>
      </c>
      <c r="AW20" s="53">
        <v>2.3999999999999998E-4</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23">
        <v>0</v>
      </c>
      <c r="BN20" s="23">
        <v>0</v>
      </c>
      <c r="BO20" s="23">
        <v>0</v>
      </c>
      <c r="BP20" s="23">
        <v>0</v>
      </c>
      <c r="BQ20" s="23">
        <v>0</v>
      </c>
      <c r="BR20" s="23">
        <v>0</v>
      </c>
      <c r="BS20" s="23">
        <v>0</v>
      </c>
      <c r="BT20" s="25" t="s">
        <v>85</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2">
        <v>0</v>
      </c>
      <c r="DC20" s="22">
        <v>0</v>
      </c>
      <c r="DD20" s="22">
        <v>0</v>
      </c>
      <c r="DE20" s="22">
        <v>0</v>
      </c>
      <c r="DF20" s="22">
        <v>0</v>
      </c>
      <c r="DG20" s="22">
        <v>0</v>
      </c>
      <c r="DH20" s="22">
        <v>0</v>
      </c>
      <c r="DI20" s="22"/>
      <c r="DJ20" s="22"/>
      <c r="DK20" s="22"/>
      <c r="DL20" s="22"/>
      <c r="DM20" s="22"/>
      <c r="DN20" s="22"/>
      <c r="DO20" s="22"/>
      <c r="DP20" s="22"/>
      <c r="DQ20" s="22"/>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c r="EZ20" s="22">
        <v>0</v>
      </c>
      <c r="FA20" s="22">
        <v>0</v>
      </c>
      <c r="FB20" s="22">
        <v>0</v>
      </c>
      <c r="FC20" s="22">
        <v>0</v>
      </c>
      <c r="FD20" s="22">
        <v>0</v>
      </c>
      <c r="FE20" s="22">
        <v>0</v>
      </c>
    </row>
    <row r="21" spans="2:161" x14ac:dyDescent="0.3">
      <c r="B21" s="32">
        <v>5</v>
      </c>
      <c r="C21" s="34" t="s">
        <v>56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v>3036.386</v>
      </c>
      <c r="AW21" s="53">
        <v>4733.1246100000008</v>
      </c>
      <c r="AX21" s="53">
        <v>6613.1929</v>
      </c>
      <c r="AY21" s="53">
        <v>5092.3099699999993</v>
      </c>
      <c r="AZ21" s="53">
        <v>1657.43049</v>
      </c>
      <c r="BA21" s="53">
        <v>3135.5562999999997</v>
      </c>
      <c r="BB21" s="53">
        <v>4735.4725599999992</v>
      </c>
      <c r="BC21" s="53">
        <v>6266.0903600000001</v>
      </c>
      <c r="BD21" s="53">
        <v>8523.5369300000002</v>
      </c>
      <c r="BE21" s="53">
        <v>10150.322630000001</v>
      </c>
      <c r="BF21" s="53">
        <v>11821.520199999999</v>
      </c>
      <c r="BG21" s="53">
        <v>13739.47392</v>
      </c>
      <c r="BH21" s="53">
        <v>15335.13032</v>
      </c>
      <c r="BI21" s="53">
        <v>17060.577379999999</v>
      </c>
      <c r="BJ21" s="53">
        <v>18762.970380000002</v>
      </c>
      <c r="BK21" s="53">
        <v>0</v>
      </c>
      <c r="BL21" s="53">
        <v>2006.28415</v>
      </c>
      <c r="BM21" s="23">
        <v>3831.9635899999998</v>
      </c>
      <c r="BN21" s="23">
        <v>5679.0392699999993</v>
      </c>
      <c r="BO21" s="23">
        <v>7494.8021600000002</v>
      </c>
      <c r="BP21" s="23">
        <v>9409.9550099999997</v>
      </c>
      <c r="BQ21" s="23">
        <v>11426.93692</v>
      </c>
      <c r="BR21" s="23">
        <v>13522.614509999999</v>
      </c>
      <c r="BS21" s="23">
        <v>17604.255430000001</v>
      </c>
      <c r="BT21" s="23">
        <v>19609.439870000002</v>
      </c>
      <c r="BU21" s="23">
        <v>21684.087399999997</v>
      </c>
      <c r="BV21" s="23">
        <v>24048.360820000002</v>
      </c>
      <c r="BW21" s="23"/>
      <c r="BX21" s="23">
        <v>2617.6371400000003</v>
      </c>
      <c r="BY21" s="23">
        <v>5027.2808600000008</v>
      </c>
      <c r="BZ21" s="23">
        <v>7918.3374199999998</v>
      </c>
      <c r="CA21" s="23">
        <v>10831.18309</v>
      </c>
      <c r="CB21" s="23">
        <v>13872.957689999999</v>
      </c>
      <c r="CC21" s="23">
        <v>16830.659820000001</v>
      </c>
      <c r="CD21" s="23">
        <v>19954.967940000002</v>
      </c>
      <c r="CE21" s="23">
        <v>23230.49022</v>
      </c>
      <c r="CF21" s="23">
        <v>26394.45001</v>
      </c>
      <c r="CG21" s="23">
        <v>29923.96069</v>
      </c>
      <c r="CH21" s="23">
        <v>33392.705329999997</v>
      </c>
      <c r="CI21" s="23">
        <v>0</v>
      </c>
      <c r="CJ21" s="23">
        <v>3805.9575399999999</v>
      </c>
      <c r="CK21" s="23">
        <v>7450.1985700000005</v>
      </c>
      <c r="CL21" s="23">
        <v>11315.68015</v>
      </c>
      <c r="CM21" s="23">
        <v>15027.297570000002</v>
      </c>
      <c r="CN21" s="23">
        <v>18864.213949999998</v>
      </c>
      <c r="CO21" s="23">
        <v>22598.593519999999</v>
      </c>
      <c r="CP21" s="23">
        <v>26439.861539999998</v>
      </c>
      <c r="CQ21" s="23">
        <v>30314.969929999999</v>
      </c>
      <c r="CR21" s="23">
        <v>34099.673149999995</v>
      </c>
      <c r="CS21" s="23">
        <v>37971.418700000002</v>
      </c>
      <c r="CT21" s="23">
        <v>41750.265740000003</v>
      </c>
      <c r="CU21" s="23">
        <v>0</v>
      </c>
      <c r="CV21" s="23">
        <v>3830.8869799999998</v>
      </c>
      <c r="CW21" s="23">
        <v>7339.2113400000007</v>
      </c>
      <c r="CX21" s="23">
        <v>11173.44939</v>
      </c>
      <c r="CY21" s="23">
        <f>15312615.79/1000</f>
        <v>15312.61579</v>
      </c>
      <c r="CZ21" s="23">
        <f>20890918.69/1000</f>
        <v>20890.918690000002</v>
      </c>
      <c r="DA21" s="23">
        <f>26293485.96/1000</f>
        <v>26293.485960000002</v>
      </c>
      <c r="DB21" s="23">
        <v>32275.473760000001</v>
      </c>
      <c r="DC21" s="23">
        <f>39447158.14/1000</f>
        <v>39447.15814</v>
      </c>
      <c r="DD21" s="23">
        <f>45475980.64/1000</f>
        <v>45475.980640000002</v>
      </c>
      <c r="DE21" s="23">
        <f>50911372.55/1000</f>
        <v>50911.37255</v>
      </c>
      <c r="DF21" s="23">
        <v>55759.439530000003</v>
      </c>
      <c r="DG21" s="23">
        <v>0</v>
      </c>
      <c r="DH21" s="23">
        <f>5312841.46/1000</f>
        <v>5312.8414599999996</v>
      </c>
      <c r="DI21" s="23">
        <v>10821.38385</v>
      </c>
      <c r="DJ21" s="23">
        <v>16635.17092</v>
      </c>
      <c r="DK21" s="23">
        <v>21229.521909999999</v>
      </c>
      <c r="DL21" s="23">
        <v>26470.40754</v>
      </c>
      <c r="DM21" s="23">
        <v>29975.02434</v>
      </c>
      <c r="DN21" s="23">
        <v>38063.696880000003</v>
      </c>
      <c r="DO21" s="23">
        <v>44579.868849999999</v>
      </c>
      <c r="DP21" s="23">
        <v>51242.860110000001</v>
      </c>
      <c r="DQ21" s="23">
        <v>58445.571969999997</v>
      </c>
      <c r="DR21" s="23">
        <v>66413.665479999996</v>
      </c>
      <c r="DS21" s="22">
        <v>0</v>
      </c>
      <c r="DT21" s="23">
        <v>9938.0146400000012</v>
      </c>
      <c r="DU21" s="23">
        <v>20153.14271</v>
      </c>
      <c r="DV21" s="23">
        <v>33174.51384</v>
      </c>
      <c r="DW21" s="23">
        <v>44249.097329999997</v>
      </c>
      <c r="DX21" s="23">
        <v>55417.569320000002</v>
      </c>
      <c r="DY21" s="23">
        <v>66231.685119999995</v>
      </c>
      <c r="DZ21" s="23">
        <v>77359.405069999993</v>
      </c>
      <c r="EA21" s="23">
        <v>87636.245920000001</v>
      </c>
      <c r="EB21" s="23">
        <v>97664.924499999994</v>
      </c>
      <c r="EC21" s="23">
        <v>109107.85639</v>
      </c>
      <c r="ED21" s="23">
        <v>119767.69137999999</v>
      </c>
      <c r="EE21" s="23">
        <v>0</v>
      </c>
      <c r="EF21" s="23">
        <v>10560.55068</v>
      </c>
      <c r="EG21" s="23">
        <v>20580.98243</v>
      </c>
      <c r="EH21" s="23">
        <v>30925.88812</v>
      </c>
      <c r="EI21" s="23">
        <v>41517.315149999995</v>
      </c>
      <c r="EJ21" s="23">
        <v>52473.231189999999</v>
      </c>
      <c r="EK21" s="23">
        <v>63348.144380000005</v>
      </c>
      <c r="EL21" s="23">
        <v>74955.545670000007</v>
      </c>
      <c r="EM21" s="23">
        <v>88322.300069999998</v>
      </c>
      <c r="EN21" s="23">
        <v>100830.60725</v>
      </c>
      <c r="EO21" s="23">
        <v>114440.7362</v>
      </c>
      <c r="EP21" s="23">
        <v>128266.60437999999</v>
      </c>
      <c r="EQ21" s="22">
        <v>0</v>
      </c>
      <c r="ER21" s="22">
        <v>13582.955460000001</v>
      </c>
      <c r="ES21" s="22">
        <v>24912.112359999999</v>
      </c>
      <c r="ET21" s="22">
        <v>36913.834409999996</v>
      </c>
      <c r="EU21" s="22">
        <v>48876.01642</v>
      </c>
      <c r="EV21" s="22">
        <v>48877.01642</v>
      </c>
      <c r="EW21" s="22">
        <v>73988.15251</v>
      </c>
      <c r="EX21" s="22">
        <v>87468.72454000001</v>
      </c>
      <c r="EY21" s="22">
        <v>99910.153519999993</v>
      </c>
      <c r="EZ21" s="22">
        <v>112078.01985</v>
      </c>
      <c r="FA21" s="22">
        <v>124343.09948</v>
      </c>
      <c r="FB21" s="22">
        <v>137892.33332000001</v>
      </c>
      <c r="FC21" s="22">
        <v>0</v>
      </c>
      <c r="FD21" s="22">
        <v>12483.192800000001</v>
      </c>
      <c r="FE21" s="22">
        <v>24102.064879999998</v>
      </c>
    </row>
    <row r="22" spans="2:161" x14ac:dyDescent="0.3">
      <c r="B22" s="27"/>
      <c r="C22" s="2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22">
        <v>0</v>
      </c>
      <c r="BN22" s="22"/>
      <c r="BO22" s="22"/>
      <c r="BP22" s="22"/>
      <c r="BQ22" s="22">
        <v>0</v>
      </c>
      <c r="BR22" s="22"/>
      <c r="BS22" s="22"/>
      <c r="BT22" s="22"/>
      <c r="BU22" s="22"/>
      <c r="BV22" s="22"/>
      <c r="BW22" s="22"/>
      <c r="BX22" s="22"/>
      <c r="BY22" s="22"/>
      <c r="BZ22" s="22"/>
      <c r="CA22" s="22"/>
      <c r="CB22" s="22"/>
      <c r="CC22" s="22"/>
      <c r="CD22" s="22">
        <v>0</v>
      </c>
      <c r="CE22" s="22">
        <v>0</v>
      </c>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v>0</v>
      </c>
      <c r="DU22" s="22">
        <v>0</v>
      </c>
      <c r="DV22" s="22">
        <v>0</v>
      </c>
      <c r="DW22" s="22">
        <v>0</v>
      </c>
      <c r="DX22" s="22">
        <v>0</v>
      </c>
      <c r="DY22" s="22">
        <v>0</v>
      </c>
      <c r="DZ22" s="22">
        <v>0</v>
      </c>
      <c r="EA22" s="22">
        <v>0</v>
      </c>
      <c r="EB22" s="22">
        <v>0</v>
      </c>
      <c r="EC22" s="22">
        <v>0</v>
      </c>
      <c r="ED22" s="22">
        <v>0</v>
      </c>
      <c r="EE22" s="22">
        <v>0</v>
      </c>
      <c r="EF22" s="22">
        <v>0</v>
      </c>
      <c r="EG22" s="22">
        <v>0</v>
      </c>
      <c r="EH22" s="22">
        <v>0</v>
      </c>
      <c r="EI22" s="22">
        <v>0</v>
      </c>
      <c r="EJ22" s="22">
        <v>0</v>
      </c>
      <c r="EK22" s="22">
        <v>0</v>
      </c>
      <c r="EL22" s="22">
        <v>0</v>
      </c>
      <c r="EM22" s="22">
        <v>0</v>
      </c>
      <c r="EN22" s="22">
        <v>0</v>
      </c>
      <c r="EO22" s="22">
        <v>0</v>
      </c>
      <c r="EP22" s="22">
        <v>0</v>
      </c>
      <c r="EQ22" s="22">
        <v>0</v>
      </c>
      <c r="ER22" s="22">
        <v>0</v>
      </c>
      <c r="ES22" s="22">
        <v>0</v>
      </c>
      <c r="ET22" s="22">
        <v>0</v>
      </c>
      <c r="EU22" s="22">
        <v>0</v>
      </c>
      <c r="EV22" s="22">
        <v>0</v>
      </c>
      <c r="EW22" s="22">
        <v>0</v>
      </c>
      <c r="EX22" s="22">
        <v>0</v>
      </c>
      <c r="EY22" s="22">
        <v>0</v>
      </c>
      <c r="EZ22" s="22">
        <v>0</v>
      </c>
      <c r="FA22" s="22">
        <v>0</v>
      </c>
      <c r="FB22" s="22">
        <v>0</v>
      </c>
      <c r="FC22" s="22">
        <v>0</v>
      </c>
      <c r="FD22" s="22">
        <v>0</v>
      </c>
      <c r="FE22" s="22">
        <v>0</v>
      </c>
    </row>
    <row r="23" spans="2:161" x14ac:dyDescent="0.3">
      <c r="B23" s="27">
        <v>3</v>
      </c>
      <c r="C23" s="28" t="s">
        <v>77</v>
      </c>
      <c r="D23" s="48">
        <v>636427.39296000008</v>
      </c>
      <c r="E23" s="48">
        <v>651437.4635800001</v>
      </c>
      <c r="F23" s="48">
        <v>665823.90379999997</v>
      </c>
      <c r="G23" s="48">
        <v>680703.87474</v>
      </c>
      <c r="H23" s="48">
        <v>695167.67573000002</v>
      </c>
      <c r="I23" s="48">
        <v>709798.50873999996</v>
      </c>
      <c r="J23" s="48">
        <v>656226.60291000002</v>
      </c>
      <c r="K23" s="48">
        <v>669350.04471000005</v>
      </c>
      <c r="L23" s="48">
        <v>682547.90467999992</v>
      </c>
      <c r="M23" s="48">
        <v>695863.45725999994</v>
      </c>
      <c r="N23" s="48">
        <v>709272.74294000003</v>
      </c>
      <c r="O23" s="48">
        <v>721287.74194000009</v>
      </c>
      <c r="P23" s="48">
        <v>736667.64346000005</v>
      </c>
      <c r="Q23" s="48">
        <v>753070.34011999995</v>
      </c>
      <c r="R23" s="48">
        <v>767946.32638999994</v>
      </c>
      <c r="S23" s="48">
        <v>783366.58709000004</v>
      </c>
      <c r="T23" s="48">
        <v>796985.0602999999</v>
      </c>
      <c r="U23" s="48">
        <v>798405.67434000003</v>
      </c>
      <c r="V23" s="48">
        <v>799898.35149000003</v>
      </c>
      <c r="W23" s="48">
        <v>841478.08945000009</v>
      </c>
      <c r="X23" s="48">
        <v>842832.95685000008</v>
      </c>
      <c r="Y23" s="48">
        <v>871525.97148000007</v>
      </c>
      <c r="Z23" s="48">
        <v>886742.42700000003</v>
      </c>
      <c r="AA23" s="48">
        <v>902376.56709000003</v>
      </c>
      <c r="AB23" s="48">
        <v>918452.70615999994</v>
      </c>
      <c r="AC23" s="48">
        <v>920000.40287999995</v>
      </c>
      <c r="AD23" s="48">
        <v>950377.26059000008</v>
      </c>
      <c r="AE23" s="48">
        <v>966835.73677999992</v>
      </c>
      <c r="AF23" s="48">
        <v>982862.01114999992</v>
      </c>
      <c r="AG23" s="48">
        <v>998471.15755999996</v>
      </c>
      <c r="AH23" s="48">
        <v>1014016.77933</v>
      </c>
      <c r="AI23" s="48">
        <v>1029421.15478</v>
      </c>
      <c r="AJ23" s="48">
        <v>1044316.50422</v>
      </c>
      <c r="AK23" s="48">
        <v>1059432.28819</v>
      </c>
      <c r="AL23" s="48">
        <v>1074228.9712799999</v>
      </c>
      <c r="AM23" s="48">
        <v>1089147.1566900001</v>
      </c>
      <c r="AN23" s="48">
        <v>1103945.5025299999</v>
      </c>
      <c r="AO23" s="48">
        <v>1118833.04669</v>
      </c>
      <c r="AP23" s="48">
        <v>1133971.13078</v>
      </c>
      <c r="AQ23" s="48">
        <v>1148916.96383</v>
      </c>
      <c r="AR23" s="48">
        <v>1164319.7718499999</v>
      </c>
      <c r="AS23" s="48">
        <v>1179435.98841</v>
      </c>
      <c r="AT23" s="48">
        <v>1194604.8214400001</v>
      </c>
      <c r="AU23" s="48">
        <v>1179519.1615799998</v>
      </c>
      <c r="AV23" s="48">
        <v>1191515.4437299999</v>
      </c>
      <c r="AW23" s="48">
        <v>1205127.52516</v>
      </c>
      <c r="AX23" s="48">
        <v>1219021.4407299999</v>
      </c>
      <c r="AY23" s="48">
        <v>1235529.96306</v>
      </c>
      <c r="AZ23" s="48">
        <v>1211357.0120699999</v>
      </c>
      <c r="BA23" s="48">
        <v>1226062.4979700001</v>
      </c>
      <c r="BB23" s="48">
        <v>1240576.9256099998</v>
      </c>
      <c r="BC23" s="48">
        <v>1254897.1804099998</v>
      </c>
      <c r="BD23" s="48">
        <v>1270026.35051</v>
      </c>
      <c r="BE23" s="48">
        <v>1284510.0813699998</v>
      </c>
      <c r="BF23" s="48">
        <v>1299258.19897</v>
      </c>
      <c r="BG23" s="48">
        <v>1313927.0745399999</v>
      </c>
      <c r="BH23" s="48">
        <v>1326952.7968599999</v>
      </c>
      <c r="BI23" s="48">
        <v>1342961.4765399999</v>
      </c>
      <c r="BJ23" s="48">
        <v>1357418.50914</v>
      </c>
      <c r="BK23" s="48">
        <v>1391981.5058999998</v>
      </c>
      <c r="BL23" s="48">
        <v>1407060.7225899999</v>
      </c>
      <c r="BM23" s="22">
        <v>1407060.7225899999</v>
      </c>
      <c r="BN23" s="22">
        <v>1437423.4697100001</v>
      </c>
      <c r="BO23" s="22">
        <v>1452875.2148599999</v>
      </c>
      <c r="BP23" s="22">
        <v>1468356.6401399998</v>
      </c>
      <c r="BQ23" s="22">
        <v>1483560.54684</v>
      </c>
      <c r="BR23" s="22">
        <v>1498740.96627</v>
      </c>
      <c r="BS23" s="22">
        <v>1513988.5929700001</v>
      </c>
      <c r="BT23" s="22">
        <v>1529308.7025100002</v>
      </c>
      <c r="BU23" s="22">
        <v>1544662.99456</v>
      </c>
      <c r="BV23" s="22">
        <v>1544662.99456</v>
      </c>
      <c r="BW23" s="22">
        <v>1600512.5974499998</v>
      </c>
      <c r="BX23" s="22">
        <v>1616029.9681599999</v>
      </c>
      <c r="BY23" s="22">
        <v>1631501.4346399999</v>
      </c>
      <c r="BZ23" s="22">
        <v>1646990.7033200001</v>
      </c>
      <c r="CA23" s="22">
        <v>1662754.8817900002</v>
      </c>
      <c r="CB23" s="22">
        <v>1678734.4581100002</v>
      </c>
      <c r="CC23" s="22">
        <v>1694613.6231200001</v>
      </c>
      <c r="CD23" s="22">
        <v>1710545.7427600001</v>
      </c>
      <c r="CE23" s="22">
        <v>1726488.9753399999</v>
      </c>
      <c r="CF23" s="22">
        <v>1742685.5635200001</v>
      </c>
      <c r="CG23" s="22">
        <v>1758823.0756600001</v>
      </c>
      <c r="CH23" s="22">
        <v>1774945.3194300001</v>
      </c>
      <c r="CI23" s="22">
        <v>1826938.3748300001</v>
      </c>
      <c r="CJ23" s="22">
        <v>1826938.3748300001</v>
      </c>
      <c r="CK23" s="22">
        <v>1860418.1999900001</v>
      </c>
      <c r="CL23" s="22">
        <v>1877337.3846100001</v>
      </c>
      <c r="CM23" s="22">
        <v>1877337.38047</v>
      </c>
      <c r="CN23" s="22">
        <v>1877337.38047</v>
      </c>
      <c r="CO23" s="22">
        <v>1877343.20456</v>
      </c>
      <c r="CP23" s="22">
        <v>1944567.02293</v>
      </c>
      <c r="CQ23" s="22">
        <v>1961547.44334</v>
      </c>
      <c r="CR23" s="22">
        <v>1978650.7178720001</v>
      </c>
      <c r="CS23" s="22">
        <v>1996023.0040599999</v>
      </c>
      <c r="CT23" s="22">
        <v>2013726.6694200002</v>
      </c>
      <c r="CU23" s="22">
        <v>2075746.78498</v>
      </c>
      <c r="CV23" s="22">
        <v>2075746.78498</v>
      </c>
      <c r="CW23" s="22">
        <v>2075746.78498</v>
      </c>
      <c r="CX23" s="22">
        <v>2075746.78498</v>
      </c>
      <c r="CY23" s="22">
        <f>2131397818.64/1000</f>
        <v>2131397.8186400002</v>
      </c>
      <c r="CZ23" s="22">
        <f>2168807467.47/1000</f>
        <v>2168807.4674699996</v>
      </c>
      <c r="DA23" s="22">
        <f>2187702538.62/1000</f>
        <v>2187702.5386199998</v>
      </c>
      <c r="DB23" s="22">
        <v>2187844.6776300003</v>
      </c>
      <c r="DC23" s="22">
        <f>2225915575.76/1000</f>
        <v>2225915.5757600004</v>
      </c>
      <c r="DD23" s="22">
        <f>2245094787.89/1000</f>
        <v>2245094.7878899998</v>
      </c>
      <c r="DE23" s="22">
        <f>2245094787.89/1000</f>
        <v>2245094.7878899998</v>
      </c>
      <c r="DF23" s="22">
        <f>2284322308.53/1000</f>
        <v>2284322.30853</v>
      </c>
      <c r="DG23" s="22">
        <f>2352514799.44/1000</f>
        <v>2352514.7994400002</v>
      </c>
      <c r="DH23" s="22">
        <v>2372815.8946599998</v>
      </c>
      <c r="DI23" s="22">
        <v>2393271.6022600001</v>
      </c>
      <c r="DJ23" s="22">
        <v>2413889.7362100002</v>
      </c>
      <c r="DK23" s="22">
        <v>2434350.0183200003</v>
      </c>
      <c r="DL23" s="22">
        <v>2442982.7443000004</v>
      </c>
      <c r="DM23" s="22">
        <v>2475362.7649099999</v>
      </c>
      <c r="DN23" s="22">
        <v>2496108.7706500003</v>
      </c>
      <c r="DO23" s="22">
        <v>2516650.3578600003</v>
      </c>
      <c r="DP23" s="22">
        <v>2537189.9470900004</v>
      </c>
      <c r="DQ23" s="22">
        <v>2539920.96532</v>
      </c>
      <c r="DR23" s="22">
        <v>2542317.1024499997</v>
      </c>
      <c r="DS23" s="22">
        <v>2601304.7226499999</v>
      </c>
      <c r="DT23" s="22">
        <v>2606484.8843999999</v>
      </c>
      <c r="DU23" s="22">
        <v>2609214.6046799999</v>
      </c>
      <c r="DV23" s="22">
        <v>2612154.9687199998</v>
      </c>
      <c r="DW23" s="22">
        <v>2615034.0560300001</v>
      </c>
      <c r="DX23" s="22">
        <v>2617949.4455800001</v>
      </c>
      <c r="DY23" s="22">
        <v>2620828.8105900004</v>
      </c>
      <c r="DZ23" s="22">
        <v>2623692.7095699999</v>
      </c>
      <c r="EA23" s="22">
        <v>2626563.2141499999</v>
      </c>
      <c r="EB23" s="22">
        <v>2629433.3753899997</v>
      </c>
      <c r="EC23" s="22">
        <v>2632349.0626399997</v>
      </c>
      <c r="ED23" s="22">
        <v>2635268.7287499998</v>
      </c>
      <c r="EE23" s="22">
        <v>2752769.5980199999</v>
      </c>
      <c r="EF23" s="22">
        <v>2755662.59663</v>
      </c>
      <c r="EG23" s="22">
        <v>2758911.1435700003</v>
      </c>
      <c r="EH23" s="22">
        <v>2758911.1435700003</v>
      </c>
      <c r="EI23" s="22">
        <v>2765414.59723</v>
      </c>
      <c r="EJ23" s="22">
        <v>2768707.3735700003</v>
      </c>
      <c r="EK23" s="22">
        <v>2772029.7791300002</v>
      </c>
      <c r="EL23" s="22">
        <v>2775426.60103</v>
      </c>
      <c r="EM23" s="22">
        <v>2778863.92827</v>
      </c>
      <c r="EN23" s="22">
        <v>2778863.92827</v>
      </c>
      <c r="EO23" s="22">
        <v>2785899.26437</v>
      </c>
      <c r="EP23" s="22">
        <v>2789483.8207199997</v>
      </c>
      <c r="EQ23" s="22">
        <v>2917435.3671800001</v>
      </c>
      <c r="ER23" s="22">
        <v>2922380.9803599999</v>
      </c>
      <c r="ES23" s="22">
        <v>2927458.06562</v>
      </c>
      <c r="ET23" s="22">
        <v>2932596.7028100002</v>
      </c>
      <c r="EU23" s="22">
        <v>2937821.9841499999</v>
      </c>
      <c r="EV23" s="22">
        <v>2943160.5440500001</v>
      </c>
      <c r="EW23" s="22">
        <v>2948472.9342499999</v>
      </c>
      <c r="EX23" s="22">
        <v>2953871.44582</v>
      </c>
      <c r="EY23" s="22">
        <v>2959312.7873299997</v>
      </c>
      <c r="EZ23" s="22">
        <v>2964770.98416</v>
      </c>
      <c r="FA23" s="22">
        <v>2970267.6965399999</v>
      </c>
      <c r="FB23" s="22">
        <v>2975815.7839000002</v>
      </c>
      <c r="FC23" s="22">
        <v>3101188.6292399997</v>
      </c>
      <c r="FD23" s="22">
        <v>3108472.1352600004</v>
      </c>
      <c r="FE23" s="22">
        <v>3108479.64457</v>
      </c>
    </row>
    <row r="24" spans="2:161" x14ac:dyDescent="0.3">
      <c r="B24" s="27"/>
      <c r="C24" s="2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22"/>
      <c r="BN24" s="22"/>
      <c r="BO24" s="22"/>
      <c r="BP24" s="54"/>
      <c r="BQ24" s="54"/>
      <c r="BR24" s="54"/>
      <c r="BS24" s="54"/>
      <c r="BT24" s="54"/>
      <c r="BU24" s="54"/>
      <c r="BV24" s="54"/>
      <c r="BW24" s="54"/>
      <c r="BX24" s="54"/>
      <c r="BY24" s="54"/>
      <c r="BZ24" s="54"/>
      <c r="CA24" s="54"/>
      <c r="CB24" s="54"/>
      <c r="CC24" s="54"/>
      <c r="CD24" s="54"/>
      <c r="CE24" s="54"/>
      <c r="CF24" s="54"/>
      <c r="CG24" s="54"/>
      <c r="CH24" s="54"/>
      <c r="CI24" s="54"/>
      <c r="CJ24" s="40"/>
      <c r="CK24" s="40"/>
      <c r="CL24" s="40"/>
      <c r="CM24" s="40"/>
      <c r="CN24" s="40"/>
      <c r="CO24" s="40"/>
      <c r="CP24" s="40"/>
      <c r="CQ24" s="40"/>
      <c r="CR24" s="40"/>
      <c r="CS24" s="26"/>
      <c r="CT24" s="26"/>
      <c r="CU24" s="26"/>
      <c r="CV24" s="26"/>
      <c r="CW24" s="26"/>
      <c r="CX24" s="26"/>
      <c r="CY24" s="26"/>
      <c r="CZ24" s="26"/>
      <c r="DA24" s="26"/>
      <c r="DB24" s="22"/>
      <c r="DC24" s="22"/>
      <c r="DD24" s="22"/>
      <c r="DE24" s="22"/>
      <c r="DF24" s="22"/>
      <c r="DG24" s="22"/>
      <c r="DH24" s="22"/>
      <c r="DI24" s="22"/>
      <c r="DJ24" s="22"/>
      <c r="DK24" s="22"/>
      <c r="DL24" s="22"/>
      <c r="DM24" s="22"/>
      <c r="DN24" s="22"/>
      <c r="DO24" s="22"/>
      <c r="DP24" s="22"/>
      <c r="DQ24" s="22"/>
      <c r="DR24" s="22"/>
      <c r="DS24" s="22"/>
      <c r="DT24" s="22">
        <v>0</v>
      </c>
      <c r="DU24" s="22">
        <v>0</v>
      </c>
      <c r="DV24" s="22">
        <v>0</v>
      </c>
      <c r="DW24" s="22">
        <v>0</v>
      </c>
      <c r="DX24" s="22">
        <v>0</v>
      </c>
      <c r="DY24" s="22">
        <v>0</v>
      </c>
      <c r="DZ24" s="22">
        <v>0</v>
      </c>
      <c r="EA24" s="22">
        <v>0</v>
      </c>
      <c r="EB24" s="22">
        <v>0</v>
      </c>
      <c r="EC24" s="22">
        <v>0</v>
      </c>
      <c r="ED24" s="22">
        <v>0</v>
      </c>
      <c r="EE24" s="22">
        <v>0</v>
      </c>
      <c r="EF24" s="22">
        <v>0</v>
      </c>
      <c r="EG24" s="22">
        <v>0</v>
      </c>
      <c r="EH24" s="22">
        <v>0</v>
      </c>
      <c r="EI24" s="22">
        <v>0</v>
      </c>
      <c r="EJ24" s="22">
        <v>0</v>
      </c>
      <c r="EK24" s="22">
        <v>0</v>
      </c>
      <c r="EL24" s="22">
        <v>0</v>
      </c>
      <c r="EM24" s="22">
        <v>0</v>
      </c>
      <c r="EN24" s="22">
        <v>0</v>
      </c>
      <c r="EO24" s="22">
        <v>0</v>
      </c>
      <c r="EP24" s="22">
        <v>0</v>
      </c>
      <c r="EQ24" s="22">
        <v>0</v>
      </c>
      <c r="ER24" s="22">
        <v>0</v>
      </c>
      <c r="ES24" s="22">
        <v>0</v>
      </c>
      <c r="ET24" s="22">
        <v>0</v>
      </c>
      <c r="EU24" s="22">
        <v>0</v>
      </c>
      <c r="EV24" s="22">
        <v>0</v>
      </c>
      <c r="EW24" s="22">
        <v>0</v>
      </c>
      <c r="EX24" s="22">
        <v>0</v>
      </c>
      <c r="EY24" s="22">
        <v>0</v>
      </c>
      <c r="EZ24" s="22">
        <v>0</v>
      </c>
      <c r="FA24" s="22">
        <v>0</v>
      </c>
      <c r="FB24" s="22">
        <v>0</v>
      </c>
      <c r="FC24" s="22">
        <v>0</v>
      </c>
      <c r="FD24" s="22">
        <v>0</v>
      </c>
      <c r="FE24" s="22">
        <v>0</v>
      </c>
    </row>
    <row r="25" spans="2:161" x14ac:dyDescent="0.3">
      <c r="B25" s="30"/>
      <c r="C25" s="31" t="s">
        <v>62</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1">
        <f>+AV23+AV18+AV21</f>
        <v>1194840.2866399998</v>
      </c>
      <c r="AW25" s="51">
        <f>+AW23+AW18+AW21</f>
        <v>1210290.8833900001</v>
      </c>
      <c r="AX25" s="51">
        <f>+AX23+AX18+AX21</f>
        <v>1226210.9106599998</v>
      </c>
      <c r="AY25" s="51">
        <f>+AY23+AY18+AY21</f>
        <v>1241340.9692299999</v>
      </c>
      <c r="AZ25" s="51">
        <f>+AZ23+AZ18+AZ21</f>
        <v>1213494.2839499998</v>
      </c>
      <c r="BA25" s="51">
        <v>1229543.70584</v>
      </c>
      <c r="BB25" s="51">
        <v>1245510.3119199998</v>
      </c>
      <c r="BC25" s="51">
        <v>1262782.4934399999</v>
      </c>
      <c r="BD25" s="51">
        <v>1280186.2335300001</v>
      </c>
      <c r="BE25" s="51">
        <v>1296308.82556</v>
      </c>
      <c r="BF25" s="51">
        <v>1312627.20695</v>
      </c>
      <c r="BG25" s="51">
        <v>1328804.2131500002</v>
      </c>
      <c r="BH25" s="51">
        <v>1343413.2331499998</v>
      </c>
      <c r="BI25" s="51">
        <v>1361187.31225</v>
      </c>
      <c r="BJ25" s="51">
        <v>1377382.45245</v>
      </c>
      <c r="BK25" s="51">
        <v>1393225.2643899999</v>
      </c>
      <c r="BL25" s="51">
        <v>1410300.3613199999</v>
      </c>
      <c r="BM25" s="24">
        <v>1412077.8065199996</v>
      </c>
      <c r="BN25" s="24">
        <v>1444250.20964</v>
      </c>
      <c r="BO25" s="24">
        <v>1461551.67086</v>
      </c>
      <c r="BP25" s="24">
        <v>1478970.2816199998</v>
      </c>
      <c r="BQ25" s="24">
        <v>1496229.8261299999</v>
      </c>
      <c r="BR25" s="24">
        <v>1513504.4825799998</v>
      </c>
      <c r="BS25" s="24">
        <v>1532781.0238300001</v>
      </c>
      <c r="BT25" s="24">
        <v>1550122.1599900001</v>
      </c>
      <c r="BU25" s="24">
        <v>1567610.1038600001</v>
      </c>
      <c r="BV25" s="24">
        <v>1570011.5614199999</v>
      </c>
      <c r="BW25" s="24">
        <v>1601745.4601299998</v>
      </c>
      <c r="BX25" s="24">
        <v>1619915.68356</v>
      </c>
      <c r="BY25" s="24">
        <v>1637821.0284199999</v>
      </c>
      <c r="BZ25" s="24">
        <v>1656180.8552300003</v>
      </c>
      <c r="CA25" s="24">
        <v>1674913.56592</v>
      </c>
      <c r="CB25" s="24">
        <v>1693999.2225100002</v>
      </c>
      <c r="CC25" s="24">
        <v>1712767.05174</v>
      </c>
      <c r="CD25" s="24">
        <v>1731945.4056200001</v>
      </c>
      <c r="CE25" s="24">
        <v>1751145.5037499999</v>
      </c>
      <c r="CF25" s="24">
        <v>1770493.79871</v>
      </c>
      <c r="CG25" s="24">
        <v>1789862.8141700001</v>
      </c>
      <c r="CH25" s="24">
        <v>1809494.48336</v>
      </c>
      <c r="CI25" s="24">
        <v>1828012.2525900002</v>
      </c>
      <c r="CJ25" s="24">
        <v>1831797.65274</v>
      </c>
      <c r="CK25" s="24">
        <v>1868871.0977</v>
      </c>
      <c r="CL25" s="24">
        <v>1889644.8954300003</v>
      </c>
      <c r="CM25" s="24">
        <v>1893381.7082199999</v>
      </c>
      <c r="CN25" s="24">
        <v>1897269.8629700001</v>
      </c>
      <c r="CO25" s="24">
        <v>1901048.42882</v>
      </c>
      <c r="CP25" s="24">
        <v>1972169.1106400001</v>
      </c>
      <c r="CQ25" s="24">
        <v>1992970.4835300001</v>
      </c>
      <c r="CR25" s="24">
        <v>2013927.2783320001</v>
      </c>
      <c r="CS25" s="24">
        <v>2035235.8725099999</v>
      </c>
      <c r="CT25" s="24">
        <v>2056681.6898400001</v>
      </c>
      <c r="CU25" s="24">
        <v>2076820.7008600002</v>
      </c>
      <c r="CV25" s="24">
        <v>2080574.4357</v>
      </c>
      <c r="CW25" s="24">
        <v>2084109.16609</v>
      </c>
      <c r="CX25" s="24">
        <v>2087908.63176</v>
      </c>
      <c r="CY25" s="24">
        <f>2147856773.87/1000</f>
        <v>2147856.7738699997</v>
      </c>
      <c r="CZ25" s="24">
        <f>2190698382.04/1000</f>
        <v>2190698.3820400001</v>
      </c>
      <c r="DA25" s="24">
        <f>2214921589.1/1000</f>
        <v>2214921.5891</v>
      </c>
      <c r="DB25" s="24">
        <v>2221090.6838600002</v>
      </c>
      <c r="DC25" s="24">
        <f>2266381410.33/1000</f>
        <v>2266381.4103299999</v>
      </c>
      <c r="DD25" s="24">
        <f>2291696757.99/1000</f>
        <v>2291696.7579899998</v>
      </c>
      <c r="DE25" s="24">
        <f>2297067597.96/1000</f>
        <v>2297067.5979599999</v>
      </c>
      <c r="DF25" s="24">
        <v>2341176.4616100001</v>
      </c>
      <c r="DG25" s="24">
        <f>2353587111.45/1000</f>
        <v>2353587.1114499997</v>
      </c>
      <c r="DH25" s="24">
        <v>2379240.2851499999</v>
      </c>
      <c r="DI25" s="24">
        <v>2405334.9363800003</v>
      </c>
      <c r="DJ25" s="24">
        <v>2431788.3573400001</v>
      </c>
      <c r="DK25" s="24">
        <v>2456601.86154</v>
      </c>
      <c r="DL25" s="24">
        <v>2470426.85671</v>
      </c>
      <c r="DM25" s="24">
        <v>2506373.3816499999</v>
      </c>
      <c r="DN25" s="24">
        <v>2535329.6039300002</v>
      </c>
      <c r="DO25" s="24">
        <v>2562439.5691999998</v>
      </c>
      <c r="DP25" s="24">
        <v>2589769.2833799999</v>
      </c>
      <c r="DQ25" s="24">
        <v>2599684.9661699999</v>
      </c>
      <c r="DR25" s="24">
        <v>2609915.6831999999</v>
      </c>
      <c r="DS25" s="24">
        <v>2604814.4384599999</v>
      </c>
      <c r="DT25" s="24">
        <v>2617575.10616</v>
      </c>
      <c r="DU25" s="24">
        <v>2630698.19808</v>
      </c>
      <c r="DV25" s="24">
        <v>2646651.13827</v>
      </c>
      <c r="DW25" s="24">
        <v>2660622.3375599999</v>
      </c>
      <c r="DX25" s="24">
        <v>2674704.8759599999</v>
      </c>
      <c r="DY25" s="24">
        <v>2688417.1126100002</v>
      </c>
      <c r="DZ25" s="24">
        <v>2702493.7592900004</v>
      </c>
      <c r="EA25" s="24">
        <v>2715719.4131000005</v>
      </c>
      <c r="EB25" s="24">
        <v>2728601.08177</v>
      </c>
      <c r="EC25" s="24">
        <v>2742999.9857999999</v>
      </c>
      <c r="ED25" s="24">
        <v>2635268.7287499998</v>
      </c>
      <c r="EE25" s="24">
        <v>2754159.0456399997</v>
      </c>
      <c r="EF25" s="24">
        <v>2767723.04691</v>
      </c>
      <c r="EG25" s="24">
        <v>2781123.2019499997</v>
      </c>
      <c r="EH25" s="24">
        <v>2791402.2672600001</v>
      </c>
      <c r="EI25" s="24">
        <v>2808459.5305100004</v>
      </c>
      <c r="EJ25" s="24">
        <v>2822646.9522000002</v>
      </c>
      <c r="EK25" s="24">
        <v>2836835.7571999999</v>
      </c>
      <c r="EL25" s="24">
        <v>2851884.6269800006</v>
      </c>
      <c r="EM25" s="24">
        <v>2868807.9986800002</v>
      </c>
      <c r="EN25" s="24">
        <v>2881297.70811</v>
      </c>
      <c r="EO25" s="24">
        <v>2901940.5964999995</v>
      </c>
      <c r="EP25" s="24">
        <v>2919257.9895600001</v>
      </c>
      <c r="EQ25" s="24">
        <v>2918991.8511699997</v>
      </c>
      <c r="ER25" s="24">
        <v>2937075.3516700002</v>
      </c>
      <c r="ES25" s="24">
        <v>2953597.5760300001</v>
      </c>
      <c r="ET25" s="24">
        <v>2970687.7134399996</v>
      </c>
      <c r="EU25" s="24">
        <v>3012028.66921</v>
      </c>
      <c r="EV25" s="24">
        <v>3014836.7926000003</v>
      </c>
      <c r="EW25" s="24">
        <v>3026349.6624300005</v>
      </c>
      <c r="EX25" s="24">
        <v>3044563.8902200004</v>
      </c>
      <c r="EY25" s="24">
        <v>3062135.1282500001</v>
      </c>
      <c r="EZ25" s="24">
        <v>3079453.1903199996</v>
      </c>
      <c r="FA25" s="24">
        <v>3097115.8989499998</v>
      </c>
      <c r="FB25" s="24">
        <v>3115511.64928</v>
      </c>
      <c r="FC25" s="24">
        <v>3102980.8173499997</v>
      </c>
      <c r="FD25" s="24">
        <v>3122783.9925300004</v>
      </c>
      <c r="FE25" s="24">
        <v>3141833.6684700004</v>
      </c>
    </row>
    <row r="26" spans="2:161" x14ac:dyDescent="0.3">
      <c r="B26" s="5"/>
      <c r="C26" s="1"/>
      <c r="D26" s="6"/>
      <c r="E26" s="6"/>
      <c r="F26" s="6"/>
      <c r="G26" s="6"/>
      <c r="H26" s="6"/>
      <c r="I26" s="6"/>
      <c r="J26" s="6"/>
      <c r="K26" s="6"/>
      <c r="L26" s="6"/>
      <c r="M26" s="6"/>
      <c r="N26" s="6"/>
      <c r="O26" s="6"/>
      <c r="P26" s="7"/>
      <c r="Q26" s="7"/>
      <c r="R26" s="7"/>
      <c r="S26" s="7"/>
      <c r="T26" s="7"/>
      <c r="U26" s="7"/>
      <c r="V26" s="7"/>
      <c r="W26" s="7"/>
      <c r="X26" s="7"/>
      <c r="Y26" s="7"/>
      <c r="Z26" s="7"/>
      <c r="AA26" s="7"/>
      <c r="AB26" s="1"/>
      <c r="AC26" s="1"/>
      <c r="AD26" s="1"/>
      <c r="AE26" s="1"/>
      <c r="AF26" s="1"/>
      <c r="AG26" s="1"/>
      <c r="AH26" s="1"/>
      <c r="AI26" s="1"/>
      <c r="AJ26" s="1"/>
      <c r="AK26" s="1"/>
      <c r="AL26" s="1"/>
      <c r="AM26" s="1"/>
    </row>
    <row r="27" spans="2:161" x14ac:dyDescent="0.3">
      <c r="B27" s="55" t="s">
        <v>31</v>
      </c>
      <c r="C27" s="1"/>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9"/>
      <c r="AK27" s="1"/>
      <c r="AL27" s="1"/>
      <c r="AM27" s="1"/>
      <c r="AV27" s="19"/>
      <c r="AW27" s="19"/>
      <c r="AX27" s="19"/>
      <c r="AY27" s="19"/>
      <c r="AZ27" s="19"/>
      <c r="BA27" s="19"/>
      <c r="BB27" s="19"/>
      <c r="BC27" s="19"/>
      <c r="BD27" s="19"/>
      <c r="BE27" s="19"/>
      <c r="BF27" s="19"/>
      <c r="BG27" s="19"/>
      <c r="BH27" s="19"/>
      <c r="BI27" s="19"/>
      <c r="BJ27" s="19"/>
      <c r="BK27" s="19"/>
      <c r="BL27" s="19"/>
      <c r="BM27" s="19"/>
      <c r="BN27" s="19"/>
    </row>
    <row r="28" spans="2:161" x14ac:dyDescent="0.3">
      <c r="B28" s="56" t="s">
        <v>40</v>
      </c>
      <c r="C28" s="1"/>
      <c r="D28" s="1"/>
      <c r="E28" s="1"/>
      <c r="F28" s="1"/>
      <c r="G28" s="1"/>
      <c r="H28" s="8"/>
      <c r="I28" s="8"/>
      <c r="J28" s="8"/>
      <c r="K28" s="8"/>
      <c r="L28" s="8"/>
      <c r="M28" s="8"/>
      <c r="N28" s="8"/>
      <c r="O28" s="8"/>
      <c r="P28" s="8"/>
      <c r="Q28" s="8"/>
      <c r="R28" s="8"/>
      <c r="S28" s="8"/>
      <c r="T28" s="8"/>
      <c r="U28" s="8"/>
      <c r="V28" s="8"/>
      <c r="W28" s="8"/>
      <c r="X28" s="8"/>
      <c r="Y28" s="8"/>
      <c r="Z28" s="8"/>
      <c r="AA28" s="8"/>
      <c r="AB28" s="1"/>
      <c r="AC28" s="1"/>
      <c r="AD28" s="1"/>
      <c r="AE28" s="1"/>
      <c r="AF28" s="1"/>
      <c r="AG28" s="1"/>
      <c r="AH28" s="1"/>
      <c r="AI28" s="1"/>
      <c r="AJ28" s="1"/>
      <c r="AK28" s="1"/>
      <c r="AL28" s="1"/>
      <c r="AM28" s="1"/>
      <c r="AX28" s="47"/>
      <c r="AY28" s="47"/>
      <c r="AZ28" s="47"/>
      <c r="BA28" s="47"/>
      <c r="BB28" s="47"/>
      <c r="BC28" s="47"/>
      <c r="BD28" s="47"/>
      <c r="BE28" s="47"/>
      <c r="BF28" s="47"/>
      <c r="BG28" s="47"/>
      <c r="BH28" s="47"/>
      <c r="BI28" s="47"/>
      <c r="BJ28" s="47"/>
      <c r="BK28" s="47"/>
      <c r="BL28" s="47"/>
      <c r="BM28" s="47"/>
      <c r="BN28" s="47"/>
    </row>
    <row r="29" spans="2:161" x14ac:dyDescent="0.3">
      <c r="B29" s="56" t="s">
        <v>39</v>
      </c>
      <c r="C29" s="1"/>
      <c r="D29" s="1"/>
      <c r="E29" s="1"/>
      <c r="F29" s="1"/>
      <c r="G29" s="1"/>
      <c r="H29" s="8"/>
      <c r="I29" s="8"/>
      <c r="J29" s="8"/>
      <c r="K29" s="8"/>
      <c r="L29" s="8"/>
      <c r="M29" s="8"/>
      <c r="N29" s="8"/>
      <c r="O29" s="8"/>
      <c r="P29" s="8"/>
      <c r="Q29" s="8"/>
      <c r="R29" s="8"/>
      <c r="S29" s="8"/>
      <c r="T29" s="8"/>
      <c r="U29" s="8"/>
      <c r="V29" s="8"/>
      <c r="W29" s="8"/>
      <c r="X29" s="8"/>
      <c r="Y29" s="8"/>
      <c r="Z29" s="8"/>
      <c r="AA29" s="8"/>
      <c r="AB29" s="1"/>
      <c r="AC29" s="1"/>
      <c r="AD29" s="1"/>
      <c r="AE29" s="1"/>
      <c r="AF29" s="1"/>
      <c r="AG29" s="1"/>
      <c r="AH29" s="1"/>
      <c r="AI29" s="1"/>
      <c r="AJ29" s="1"/>
      <c r="AK29" s="1"/>
      <c r="AL29" s="1"/>
      <c r="AM29" s="1"/>
      <c r="AW29" s="19"/>
      <c r="AX29" s="19"/>
      <c r="AY29" s="19"/>
      <c r="AZ29" s="19"/>
      <c r="BA29" s="19"/>
      <c r="BB29" s="19"/>
      <c r="BC29" s="19"/>
      <c r="BD29" s="19"/>
    </row>
    <row r="30" spans="2:161" ht="15" customHeight="1" x14ac:dyDescent="0.3">
      <c r="B30" s="84" t="s">
        <v>35</v>
      </c>
      <c r="C30" s="84"/>
      <c r="D30" s="84"/>
      <c r="E30" s="84"/>
      <c r="F30" s="84"/>
      <c r="G30" s="84"/>
      <c r="H30" s="84"/>
      <c r="I30" s="84"/>
      <c r="J30" s="84"/>
      <c r="K30" s="84"/>
      <c r="L30" s="84"/>
      <c r="M30" s="84"/>
      <c r="N30" s="84"/>
      <c r="O30" s="84"/>
      <c r="P30" s="84"/>
      <c r="Q30" s="84"/>
      <c r="R30" s="84"/>
      <c r="S30" s="84"/>
      <c r="T30" s="84"/>
      <c r="U30" s="84"/>
      <c r="V30" s="84"/>
      <c r="W30" s="84"/>
      <c r="X30" s="84"/>
      <c r="Y30" s="84"/>
      <c r="Z30" s="8"/>
      <c r="AA30" s="8"/>
      <c r="AB30" s="1"/>
      <c r="AC30" s="1"/>
      <c r="AD30" s="1"/>
      <c r="AE30" s="1"/>
      <c r="AF30" s="1"/>
      <c r="AG30" s="1"/>
      <c r="AH30" s="1"/>
      <c r="AI30" s="1"/>
      <c r="AJ30" s="1"/>
      <c r="AK30" s="1"/>
      <c r="AL30" s="1"/>
      <c r="AM30" s="1"/>
    </row>
    <row r="31" spans="2:161" ht="15" customHeight="1" x14ac:dyDescent="0.3">
      <c r="B31" s="57" t="s">
        <v>59</v>
      </c>
      <c r="C31" s="58"/>
      <c r="D31" s="58"/>
      <c r="E31" s="58"/>
      <c r="F31" s="58"/>
      <c r="G31" s="58"/>
      <c r="H31" s="58"/>
      <c r="I31" s="58"/>
      <c r="J31" s="58"/>
      <c r="K31" s="58"/>
      <c r="L31" s="58"/>
      <c r="M31" s="58"/>
      <c r="N31" s="58"/>
      <c r="O31" s="58"/>
      <c r="P31" s="58"/>
      <c r="Q31" s="58"/>
      <c r="R31" s="58"/>
      <c r="S31" s="58"/>
      <c r="T31" s="58"/>
      <c r="U31" s="58"/>
      <c r="V31" s="58"/>
      <c r="W31" s="58"/>
      <c r="X31" s="58"/>
      <c r="Y31" s="58"/>
      <c r="Z31" s="8"/>
      <c r="AA31" s="8"/>
      <c r="AB31" s="1"/>
      <c r="AC31" s="1"/>
      <c r="AD31" s="1"/>
      <c r="AE31" s="1"/>
      <c r="AF31" s="1"/>
      <c r="AG31" s="1"/>
      <c r="AH31" s="1"/>
      <c r="AI31" s="1"/>
      <c r="AJ31" s="1"/>
      <c r="AK31" s="1"/>
      <c r="AL31" s="1"/>
      <c r="AM31" s="1"/>
    </row>
    <row r="32" spans="2:161" ht="15" customHeight="1" x14ac:dyDescent="0.3">
      <c r="B32" s="57" t="s">
        <v>65</v>
      </c>
      <c r="C32" s="58"/>
      <c r="D32" s="58"/>
      <c r="E32" s="58"/>
      <c r="F32" s="58"/>
      <c r="G32" s="58"/>
      <c r="H32" s="58"/>
      <c r="I32" s="58"/>
      <c r="J32" s="58"/>
      <c r="K32" s="58"/>
      <c r="L32" s="58"/>
      <c r="M32" s="58"/>
      <c r="N32" s="58"/>
      <c r="O32" s="58"/>
      <c r="P32" s="58"/>
      <c r="Q32" s="58"/>
      <c r="R32" s="58"/>
      <c r="S32" s="58"/>
      <c r="T32" s="58"/>
      <c r="U32" s="58"/>
      <c r="V32" s="58"/>
      <c r="W32" s="58"/>
      <c r="X32" s="58"/>
      <c r="Y32" s="58"/>
      <c r="Z32" s="8"/>
      <c r="AA32" s="8"/>
      <c r="AB32" s="1"/>
      <c r="AC32" s="1"/>
      <c r="AD32" s="1"/>
      <c r="AE32" s="1"/>
      <c r="AF32" s="1"/>
      <c r="AG32" s="1"/>
      <c r="AH32" s="1"/>
      <c r="AI32" s="1"/>
      <c r="AJ32" s="1"/>
      <c r="AK32" s="1"/>
      <c r="AL32" s="1"/>
      <c r="AM32" s="1"/>
    </row>
    <row r="33" spans="2:50" x14ac:dyDescent="0.3">
      <c r="B33" s="57" t="s">
        <v>66</v>
      </c>
      <c r="C33" s="1"/>
      <c r="D33" s="1"/>
      <c r="E33" s="1"/>
      <c r="F33" s="1"/>
      <c r="G33" s="1"/>
      <c r="H33" s="8"/>
      <c r="I33" s="8"/>
      <c r="J33" s="8"/>
      <c r="K33" s="8"/>
      <c r="L33" s="8"/>
      <c r="M33" s="8"/>
      <c r="N33" s="8"/>
      <c r="O33" s="8"/>
      <c r="P33" s="8"/>
      <c r="Q33" s="8"/>
      <c r="R33" s="8"/>
      <c r="S33" s="8"/>
      <c r="T33" s="8"/>
      <c r="U33" s="8"/>
      <c r="V33" s="8"/>
      <c r="W33" s="8"/>
      <c r="X33" s="8"/>
      <c r="Y33" s="8"/>
      <c r="Z33" s="8"/>
      <c r="AA33" s="8"/>
      <c r="AB33" s="1"/>
      <c r="AC33" s="1"/>
      <c r="AD33" s="1"/>
      <c r="AE33" s="1"/>
      <c r="AF33" s="1"/>
      <c r="AG33" s="1"/>
      <c r="AH33" s="1"/>
      <c r="AI33" s="1"/>
      <c r="AJ33" s="1"/>
      <c r="AK33" s="1"/>
      <c r="AL33" s="1"/>
      <c r="AM33" s="1"/>
    </row>
    <row r="34" spans="2:50" x14ac:dyDescent="0.3">
      <c r="B34" s="57" t="s">
        <v>72</v>
      </c>
      <c r="C34" s="1"/>
      <c r="D34" s="1"/>
      <c r="E34" s="1"/>
      <c r="F34" s="1"/>
      <c r="G34" s="1"/>
      <c r="H34" s="8"/>
      <c r="I34" s="8"/>
      <c r="J34" s="8"/>
      <c r="K34" s="8"/>
      <c r="L34" s="8"/>
      <c r="M34" s="8"/>
      <c r="N34" s="8"/>
      <c r="O34" s="8"/>
      <c r="P34" s="8"/>
      <c r="Q34" s="8"/>
      <c r="R34" s="8"/>
      <c r="S34" s="8"/>
      <c r="T34" s="8"/>
      <c r="U34" s="8"/>
      <c r="V34" s="8"/>
      <c r="W34" s="8"/>
      <c r="X34" s="8"/>
      <c r="Y34" s="8"/>
      <c r="Z34" s="8"/>
      <c r="AA34" s="8"/>
      <c r="AB34" s="1"/>
      <c r="AC34" s="1"/>
      <c r="AD34" s="1"/>
      <c r="AE34" s="1"/>
      <c r="AF34" s="1"/>
      <c r="AG34" s="1"/>
      <c r="AH34" s="1"/>
      <c r="AI34" s="1"/>
      <c r="AJ34" s="1"/>
      <c r="AK34" s="1"/>
      <c r="AL34" s="1"/>
      <c r="AM34" s="1"/>
    </row>
    <row r="35" spans="2:50" x14ac:dyDescent="0.3">
      <c r="B35" s="57" t="s">
        <v>68</v>
      </c>
      <c r="C35" s="1"/>
      <c r="D35" s="1"/>
      <c r="E35" s="1"/>
      <c r="F35" s="1"/>
      <c r="G35" s="1"/>
      <c r="H35" s="8"/>
      <c r="I35" s="8"/>
      <c r="J35" s="8"/>
      <c r="K35" s="8"/>
      <c r="L35" s="8"/>
      <c r="M35" s="8"/>
      <c r="N35" s="8"/>
      <c r="O35" s="8"/>
      <c r="P35" s="8"/>
      <c r="Q35" s="8"/>
      <c r="R35" s="8"/>
      <c r="S35" s="8"/>
      <c r="T35" s="8"/>
      <c r="U35" s="8"/>
      <c r="V35" s="8"/>
      <c r="W35" s="8"/>
      <c r="X35" s="8"/>
      <c r="Y35" s="8"/>
      <c r="Z35" s="8"/>
      <c r="AA35" s="8"/>
      <c r="AB35" s="1"/>
      <c r="AC35" s="1"/>
      <c r="AD35" s="1"/>
      <c r="AE35" s="1"/>
      <c r="AF35" s="1"/>
      <c r="AG35" s="1"/>
      <c r="AH35" s="1"/>
      <c r="AI35" s="1"/>
      <c r="AJ35" s="1"/>
      <c r="AK35" s="1"/>
      <c r="AL35" s="1"/>
      <c r="AM35" s="1"/>
    </row>
    <row r="36" spans="2:50" x14ac:dyDescent="0.3">
      <c r="B36" s="57" t="s">
        <v>69</v>
      </c>
      <c r="C36" s="1"/>
      <c r="D36" s="1"/>
      <c r="E36" s="1"/>
      <c r="F36" s="1"/>
      <c r="G36" s="1"/>
      <c r="H36" s="8"/>
      <c r="I36" s="8"/>
      <c r="J36" s="8"/>
      <c r="K36" s="8"/>
      <c r="L36" s="8"/>
      <c r="M36" s="8"/>
      <c r="N36" s="8"/>
      <c r="O36" s="8"/>
      <c r="P36" s="8"/>
      <c r="Q36" s="8"/>
      <c r="R36" s="8"/>
      <c r="S36" s="8"/>
      <c r="T36" s="8"/>
      <c r="U36" s="8"/>
      <c r="V36" s="8"/>
      <c r="W36" s="8"/>
      <c r="X36" s="8"/>
      <c r="Y36" s="8"/>
      <c r="Z36" s="8"/>
      <c r="AA36" s="8"/>
      <c r="AB36" s="1"/>
      <c r="AC36" s="1"/>
      <c r="AD36" s="1"/>
      <c r="AE36" s="1"/>
      <c r="AF36" s="1"/>
      <c r="AG36" s="1"/>
      <c r="AH36" s="1"/>
      <c r="AI36" s="1"/>
      <c r="AJ36" s="1"/>
      <c r="AK36" s="1"/>
      <c r="AL36" s="1"/>
      <c r="AM36" s="1"/>
    </row>
    <row r="37" spans="2:50" ht="25.5" customHeight="1" x14ac:dyDescent="0.3">
      <c r="B37" s="84" t="s">
        <v>81</v>
      </c>
      <c r="C37" s="84"/>
      <c r="D37" s="84"/>
      <c r="E37" s="84"/>
      <c r="F37" s="84"/>
      <c r="G37" s="84"/>
      <c r="H37" s="84"/>
      <c r="I37" s="84"/>
      <c r="J37" s="84"/>
      <c r="K37" s="84"/>
      <c r="L37" s="84"/>
      <c r="M37" s="84"/>
      <c r="N37" s="84"/>
      <c r="O37" s="8"/>
      <c r="P37" s="8"/>
      <c r="Q37" s="8"/>
      <c r="R37" s="8"/>
      <c r="S37" s="8"/>
      <c r="T37" s="8"/>
      <c r="U37" s="8"/>
      <c r="V37" s="8"/>
      <c r="W37" s="8"/>
      <c r="X37" s="8"/>
      <c r="Y37" s="8"/>
      <c r="Z37" s="8"/>
      <c r="AA37" s="8"/>
      <c r="AB37" s="1"/>
      <c r="AC37" s="1"/>
      <c r="AD37" s="1"/>
      <c r="AE37" s="1"/>
      <c r="AF37" s="1"/>
      <c r="AG37" s="1"/>
      <c r="AH37" s="1"/>
      <c r="AI37" s="1"/>
      <c r="AJ37" s="1"/>
      <c r="AK37" s="1"/>
      <c r="AL37" s="1"/>
      <c r="AM37" s="1"/>
    </row>
    <row r="38" spans="2:50" x14ac:dyDescent="0.3">
      <c r="B38" s="84" t="s">
        <v>89</v>
      </c>
      <c r="C38" s="84"/>
      <c r="D38" s="84"/>
      <c r="E38" s="84"/>
      <c r="F38" s="84"/>
      <c r="G38" s="84"/>
      <c r="H38" s="84"/>
      <c r="I38" s="84"/>
      <c r="J38" s="84"/>
      <c r="K38" s="84"/>
      <c r="L38" s="84"/>
      <c r="M38" s="84"/>
      <c r="N38" s="84"/>
      <c r="O38" s="8"/>
      <c r="P38" s="8"/>
      <c r="Q38" s="8"/>
      <c r="R38" s="8"/>
      <c r="S38" s="8"/>
      <c r="T38" s="8"/>
      <c r="U38" s="8"/>
      <c r="V38" s="8"/>
      <c r="W38" s="8"/>
      <c r="X38" s="8"/>
      <c r="Y38" s="8"/>
      <c r="Z38" s="8"/>
      <c r="AA38" s="8"/>
      <c r="AB38" s="1"/>
      <c r="AC38" s="1"/>
      <c r="AD38" s="1"/>
      <c r="AE38" s="1"/>
      <c r="AF38" s="1"/>
      <c r="AG38" s="1"/>
      <c r="AH38" s="1"/>
      <c r="AI38" s="1"/>
      <c r="AJ38" s="1"/>
      <c r="AK38" s="1"/>
      <c r="AL38" s="1"/>
      <c r="AM38" s="1"/>
    </row>
    <row r="39" spans="2:50" s="12" customFormat="1" ht="27.75" customHeight="1" x14ac:dyDescent="0.3">
      <c r="B39" s="84" t="s">
        <v>94</v>
      </c>
      <c r="C39" s="84"/>
      <c r="D39" s="84"/>
      <c r="E39" s="84"/>
      <c r="F39" s="84"/>
      <c r="G39" s="84"/>
      <c r="H39" s="84"/>
      <c r="I39" s="84"/>
      <c r="J39" s="84"/>
      <c r="K39" s="84"/>
      <c r="L39" s="84"/>
      <c r="M39" s="84"/>
      <c r="N39" s="84"/>
      <c r="O39" s="84"/>
      <c r="P39" s="84"/>
      <c r="Q39" s="13">
        <f>+Q11-(Q12+Q13+Q14)</f>
        <v>0</v>
      </c>
      <c r="R39" s="13">
        <f t="shared" ref="R39:AA39" si="0">+R11-(R12+R13+R14)</f>
        <v>0</v>
      </c>
      <c r="S39" s="13">
        <f t="shared" si="0"/>
        <v>0</v>
      </c>
      <c r="T39" s="13">
        <f t="shared" si="0"/>
        <v>0</v>
      </c>
      <c r="U39" s="13">
        <f t="shared" si="0"/>
        <v>0</v>
      </c>
      <c r="V39" s="13">
        <f t="shared" si="0"/>
        <v>0</v>
      </c>
      <c r="W39" s="13">
        <f t="shared" si="0"/>
        <v>0</v>
      </c>
      <c r="X39" s="13">
        <f>+X11-(X12+X13+X14)</f>
        <v>0</v>
      </c>
      <c r="Y39" s="13">
        <f t="shared" si="0"/>
        <v>0</v>
      </c>
      <c r="Z39" s="13">
        <f t="shared" si="0"/>
        <v>0</v>
      </c>
      <c r="AA39" s="13">
        <f t="shared" si="0"/>
        <v>0</v>
      </c>
      <c r="AB39" s="13">
        <f t="shared" ref="AB39:AO39" si="1">+AB11-(AB12+AB13+AB14)</f>
        <v>0</v>
      </c>
      <c r="AC39" s="13">
        <f t="shared" si="1"/>
        <v>0</v>
      </c>
      <c r="AD39" s="13">
        <f t="shared" si="1"/>
        <v>0</v>
      </c>
      <c r="AE39" s="13">
        <f t="shared" si="1"/>
        <v>0</v>
      </c>
      <c r="AF39" s="13">
        <f t="shared" si="1"/>
        <v>0</v>
      </c>
      <c r="AG39" s="13">
        <f t="shared" si="1"/>
        <v>0</v>
      </c>
      <c r="AH39" s="13">
        <f t="shared" si="1"/>
        <v>0</v>
      </c>
      <c r="AI39" s="13">
        <f t="shared" si="1"/>
        <v>0</v>
      </c>
      <c r="AJ39" s="13">
        <f t="shared" si="1"/>
        <v>0</v>
      </c>
      <c r="AK39" s="13">
        <f t="shared" si="1"/>
        <v>0</v>
      </c>
      <c r="AL39" s="13">
        <f t="shared" si="1"/>
        <v>0</v>
      </c>
      <c r="AM39" s="13">
        <f t="shared" si="1"/>
        <v>0</v>
      </c>
      <c r="AN39" s="13">
        <f t="shared" si="1"/>
        <v>0</v>
      </c>
      <c r="AO39" s="13">
        <f t="shared" si="1"/>
        <v>0</v>
      </c>
      <c r="AP39" s="13"/>
      <c r="AQ39" s="13"/>
      <c r="AR39" s="13"/>
      <c r="AS39" s="13"/>
      <c r="AT39" s="13"/>
      <c r="AU39" s="13"/>
      <c r="AV39" s="13"/>
      <c r="AW39" s="13"/>
      <c r="AX39" s="13"/>
    </row>
    <row r="40" spans="2:50" s="12" customFormat="1" ht="27" customHeight="1" x14ac:dyDescent="0.3">
      <c r="B40" s="68" t="s">
        <v>101</v>
      </c>
      <c r="C40" s="68"/>
      <c r="D40" s="68"/>
      <c r="E40" s="68"/>
      <c r="F40" s="68"/>
      <c r="G40" s="68"/>
      <c r="H40" s="68"/>
      <c r="I40" s="68"/>
      <c r="J40" s="68"/>
      <c r="K40" s="68"/>
      <c r="L40" s="68"/>
      <c r="M40" s="68"/>
      <c r="N40" s="68"/>
      <c r="O40" s="68"/>
      <c r="P40" s="6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12" customFormat="1" ht="44.25" customHeight="1" x14ac:dyDescent="0.3">
      <c r="B41" s="68" t="s">
        <v>103</v>
      </c>
      <c r="C41" s="68"/>
      <c r="D41" s="68"/>
      <c r="E41" s="68"/>
      <c r="F41" s="68"/>
      <c r="G41" s="68"/>
      <c r="H41" s="68"/>
      <c r="I41" s="68"/>
      <c r="J41" s="68"/>
      <c r="K41" s="68"/>
      <c r="L41" s="68"/>
      <c r="M41" s="68"/>
      <c r="N41" s="68"/>
      <c r="O41" s="68"/>
      <c r="P41" s="68"/>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12" customFormat="1" ht="29.25" customHeight="1" x14ac:dyDescent="0.3">
      <c r="B42" s="68" t="s">
        <v>109</v>
      </c>
      <c r="C42" s="68"/>
      <c r="D42" s="68"/>
      <c r="E42" s="68"/>
      <c r="F42" s="68"/>
      <c r="G42" s="68"/>
      <c r="H42" s="68"/>
      <c r="I42" s="68"/>
      <c r="J42" s="68"/>
      <c r="K42" s="68"/>
      <c r="L42" s="68"/>
      <c r="M42" s="68"/>
      <c r="N42" s="68"/>
      <c r="O42" s="68"/>
      <c r="P42" s="6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12" customFormat="1" ht="19.2" customHeight="1" x14ac:dyDescent="0.3">
      <c r="B43" s="84" t="s">
        <v>114</v>
      </c>
      <c r="C43" s="84"/>
      <c r="D43" s="84"/>
      <c r="E43" s="84"/>
      <c r="F43" s="84"/>
      <c r="G43" s="84"/>
      <c r="H43" s="84"/>
      <c r="I43" s="84"/>
      <c r="J43" s="84"/>
      <c r="K43" s="84"/>
      <c r="L43" s="84"/>
      <c r="M43" s="84"/>
      <c r="N43" s="84"/>
      <c r="O43" s="84"/>
      <c r="P43" s="84"/>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row>
    <row r="44" spans="2:50" s="12" customFormat="1" ht="29.25" customHeight="1" x14ac:dyDescent="0.3">
      <c r="B44" s="84" t="s">
        <v>121</v>
      </c>
      <c r="C44" s="84"/>
      <c r="D44" s="84"/>
      <c r="E44" s="84"/>
      <c r="F44" s="84"/>
      <c r="G44" s="84"/>
      <c r="H44" s="84"/>
      <c r="I44" s="84"/>
      <c r="J44" s="84"/>
      <c r="K44" s="84"/>
      <c r="L44" s="84"/>
      <c r="M44" s="84"/>
      <c r="N44" s="84"/>
      <c r="O44" s="84"/>
      <c r="P44" s="84"/>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0" s="12" customFormat="1" ht="18.600000000000001" customHeight="1" x14ac:dyDescent="0.3">
      <c r="B45" s="84" t="s">
        <v>122</v>
      </c>
      <c r="C45" s="84"/>
      <c r="D45" s="84"/>
      <c r="E45" s="84"/>
      <c r="F45" s="84"/>
      <c r="G45" s="84"/>
      <c r="H45" s="84"/>
      <c r="I45" s="84"/>
      <c r="J45" s="84"/>
      <c r="K45" s="84"/>
      <c r="L45" s="84"/>
      <c r="M45" s="84"/>
      <c r="N45" s="84"/>
      <c r="O45" s="84"/>
      <c r="P45" s="84"/>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s="12" customFormat="1" x14ac:dyDescent="0.3">
      <c r="B46" s="6" t="s">
        <v>117</v>
      </c>
      <c r="D46" s="13">
        <f t="shared" ref="D46:AA46" si="2">+D18-(D19+D20)</f>
        <v>0</v>
      </c>
      <c r="E46" s="13">
        <f t="shared" si="2"/>
        <v>0</v>
      </c>
      <c r="F46" s="13">
        <f t="shared" si="2"/>
        <v>0</v>
      </c>
      <c r="G46" s="13">
        <f t="shared" si="2"/>
        <v>0</v>
      </c>
      <c r="H46" s="13">
        <f t="shared" si="2"/>
        <v>0</v>
      </c>
      <c r="I46" s="13">
        <f t="shared" si="2"/>
        <v>0</v>
      </c>
      <c r="J46" s="13">
        <f t="shared" si="2"/>
        <v>0</v>
      </c>
      <c r="K46" s="13">
        <f t="shared" si="2"/>
        <v>0</v>
      </c>
      <c r="L46" s="13">
        <f t="shared" si="2"/>
        <v>0</v>
      </c>
      <c r="M46" s="13">
        <f t="shared" si="2"/>
        <v>0</v>
      </c>
      <c r="N46" s="13">
        <f t="shared" si="2"/>
        <v>0</v>
      </c>
      <c r="O46" s="13">
        <f t="shared" si="2"/>
        <v>0</v>
      </c>
      <c r="P46" s="13">
        <f t="shared" si="2"/>
        <v>0</v>
      </c>
      <c r="Q46" s="13">
        <f t="shared" si="2"/>
        <v>0</v>
      </c>
      <c r="R46" s="13">
        <f t="shared" si="2"/>
        <v>0</v>
      </c>
      <c r="S46" s="13">
        <f t="shared" si="2"/>
        <v>0</v>
      </c>
      <c r="T46" s="13">
        <f t="shared" si="2"/>
        <v>0</v>
      </c>
      <c r="U46" s="13">
        <f t="shared" si="2"/>
        <v>0</v>
      </c>
      <c r="V46" s="13">
        <f t="shared" si="2"/>
        <v>0</v>
      </c>
      <c r="W46" s="13">
        <f t="shared" si="2"/>
        <v>0</v>
      </c>
      <c r="X46" s="13">
        <f t="shared" si="2"/>
        <v>0</v>
      </c>
      <c r="Y46" s="13">
        <f t="shared" si="2"/>
        <v>0</v>
      </c>
      <c r="Z46" s="13">
        <f t="shared" si="2"/>
        <v>0</v>
      </c>
      <c r="AA46" s="13">
        <f t="shared" si="2"/>
        <v>0</v>
      </c>
      <c r="AB46" s="13">
        <f t="shared" ref="AB46:AO46" si="3">+AB18-(AB19+AB20)</f>
        <v>0</v>
      </c>
      <c r="AC46" s="13">
        <f t="shared" si="3"/>
        <v>0</v>
      </c>
      <c r="AD46" s="13">
        <f t="shared" si="3"/>
        <v>0</v>
      </c>
      <c r="AE46" s="13">
        <f t="shared" si="3"/>
        <v>0</v>
      </c>
      <c r="AF46" s="13">
        <f t="shared" si="3"/>
        <v>0</v>
      </c>
      <c r="AG46" s="13">
        <f t="shared" si="3"/>
        <v>0</v>
      </c>
      <c r="AH46" s="13">
        <f t="shared" si="3"/>
        <v>0</v>
      </c>
      <c r="AI46" s="13">
        <f t="shared" si="3"/>
        <v>0</v>
      </c>
      <c r="AJ46" s="13">
        <f t="shared" si="3"/>
        <v>0</v>
      </c>
      <c r="AK46" s="13">
        <f t="shared" si="3"/>
        <v>0</v>
      </c>
      <c r="AL46" s="13">
        <f t="shared" si="3"/>
        <v>0</v>
      </c>
      <c r="AM46" s="13">
        <f t="shared" si="3"/>
        <v>0</v>
      </c>
      <c r="AN46" s="13">
        <f t="shared" si="3"/>
        <v>0</v>
      </c>
      <c r="AO46" s="13">
        <f t="shared" si="3"/>
        <v>0</v>
      </c>
      <c r="AP46" s="13"/>
      <c r="AQ46" s="13"/>
      <c r="AR46" s="13"/>
      <c r="AS46" s="13"/>
      <c r="AT46" s="13"/>
      <c r="AU46" s="13"/>
      <c r="AV46" s="13"/>
      <c r="AW46" s="13"/>
      <c r="AX46" s="13"/>
    </row>
    <row r="47" spans="2:50" s="12" customFormat="1" x14ac:dyDescent="0.3">
      <c r="D47" s="13">
        <f>+(D11-(D18+D23))</f>
        <v>-1.1641532182693481E-10</v>
      </c>
      <c r="E47" s="13">
        <f t="shared" ref="E47:AA47" si="4">+(E11-(E18+E23))</f>
        <v>-1.1641532182693481E-10</v>
      </c>
      <c r="F47" s="13">
        <f t="shared" si="4"/>
        <v>0</v>
      </c>
      <c r="G47" s="14">
        <f>+(G11-(G18+G23))</f>
        <v>0</v>
      </c>
      <c r="H47" s="13">
        <f t="shared" si="4"/>
        <v>0</v>
      </c>
      <c r="I47" s="13">
        <f t="shared" si="4"/>
        <v>0</v>
      </c>
      <c r="J47" s="13">
        <f t="shared" si="4"/>
        <v>0</v>
      </c>
      <c r="K47" s="13">
        <f t="shared" si="4"/>
        <v>0</v>
      </c>
      <c r="L47" s="13">
        <f t="shared" si="4"/>
        <v>1.1641532182693481E-10</v>
      </c>
      <c r="M47" s="13">
        <f t="shared" si="4"/>
        <v>0</v>
      </c>
      <c r="N47" s="13">
        <f t="shared" si="4"/>
        <v>-1.1641532182693481E-10</v>
      </c>
      <c r="O47" s="13">
        <f t="shared" si="4"/>
        <v>-1.1641532182693481E-10</v>
      </c>
      <c r="P47" s="13">
        <f t="shared" si="4"/>
        <v>-1.1641532182693481E-10</v>
      </c>
      <c r="Q47" s="13">
        <f t="shared" si="4"/>
        <v>1.1641532182693481E-10</v>
      </c>
      <c r="R47" s="13">
        <f t="shared" si="4"/>
        <v>0</v>
      </c>
      <c r="S47" s="13">
        <f t="shared" si="4"/>
        <v>0</v>
      </c>
      <c r="T47" s="13">
        <f t="shared" si="4"/>
        <v>1.1641532182693481E-10</v>
      </c>
      <c r="U47" s="13">
        <f t="shared" si="4"/>
        <v>-1.1641532182693481E-10</v>
      </c>
      <c r="V47" s="13">
        <f t="shared" si="4"/>
        <v>-1.1641532182693481E-10</v>
      </c>
      <c r="W47" s="13">
        <f t="shared" si="4"/>
        <v>0</v>
      </c>
      <c r="X47" s="13">
        <f t="shared" si="4"/>
        <v>0</v>
      </c>
      <c r="Y47" s="13">
        <f t="shared" si="4"/>
        <v>0</v>
      </c>
      <c r="Z47" s="13">
        <f t="shared" si="4"/>
        <v>0</v>
      </c>
      <c r="AA47" s="13">
        <f t="shared" si="4"/>
        <v>0</v>
      </c>
      <c r="AB47" s="13">
        <f t="shared" ref="AB47:AO47" si="5">+(AB11-(AB18+AB23))</f>
        <v>0</v>
      </c>
      <c r="AC47" s="13">
        <f t="shared" si="5"/>
        <v>1.1641532182693481E-10</v>
      </c>
      <c r="AD47" s="13">
        <f t="shared" si="5"/>
        <v>-1.1641532182693481E-10</v>
      </c>
      <c r="AE47" s="13">
        <f t="shared" si="5"/>
        <v>0</v>
      </c>
      <c r="AF47" s="13">
        <f t="shared" si="5"/>
        <v>0</v>
      </c>
      <c r="AG47" s="13">
        <f t="shared" si="5"/>
        <v>0</v>
      </c>
      <c r="AH47" s="13">
        <f t="shared" si="5"/>
        <v>0</v>
      </c>
      <c r="AI47" s="13">
        <f t="shared" si="5"/>
        <v>1.1641532182693481E-10</v>
      </c>
      <c r="AJ47" s="13">
        <f t="shared" si="5"/>
        <v>0</v>
      </c>
      <c r="AK47" s="13">
        <f t="shared" si="5"/>
        <v>0</v>
      </c>
      <c r="AL47" s="13">
        <f t="shared" si="5"/>
        <v>2.3283064365386963E-10</v>
      </c>
      <c r="AM47" s="13">
        <f t="shared" si="5"/>
        <v>0</v>
      </c>
      <c r="AN47" s="13">
        <f t="shared" si="5"/>
        <v>0</v>
      </c>
      <c r="AO47" s="13">
        <f t="shared" si="5"/>
        <v>0</v>
      </c>
      <c r="AP47" s="13"/>
      <c r="AQ47" s="13"/>
      <c r="AR47" s="13"/>
      <c r="AS47" s="13"/>
      <c r="AT47" s="13"/>
      <c r="AU47" s="13"/>
      <c r="AV47" s="13"/>
      <c r="AW47" s="13"/>
      <c r="AX47" s="13"/>
    </row>
    <row r="48" spans="2:50" s="12" customFormat="1" x14ac:dyDescent="0.3">
      <c r="D48" s="13">
        <f t="shared" ref="D48:AA48" si="6">(D23+D18)-D11</f>
        <v>0</v>
      </c>
      <c r="E48" s="13">
        <f t="shared" si="6"/>
        <v>0</v>
      </c>
      <c r="F48" s="13">
        <f t="shared" si="6"/>
        <v>0</v>
      </c>
      <c r="G48" s="13">
        <f t="shared" si="6"/>
        <v>0</v>
      </c>
      <c r="H48" s="13">
        <f t="shared" si="6"/>
        <v>0</v>
      </c>
      <c r="I48" s="13">
        <f t="shared" si="6"/>
        <v>0</v>
      </c>
      <c r="J48" s="13">
        <f t="shared" si="6"/>
        <v>0</v>
      </c>
      <c r="K48" s="13">
        <f t="shared" si="6"/>
        <v>0</v>
      </c>
      <c r="L48" s="13">
        <f t="shared" si="6"/>
        <v>0</v>
      </c>
      <c r="M48" s="13">
        <f t="shared" si="6"/>
        <v>0</v>
      </c>
      <c r="N48" s="13">
        <f t="shared" si="6"/>
        <v>0</v>
      </c>
      <c r="O48" s="13">
        <f t="shared" si="6"/>
        <v>0</v>
      </c>
      <c r="P48" s="13">
        <f t="shared" si="6"/>
        <v>0</v>
      </c>
      <c r="Q48" s="13">
        <f t="shared" si="6"/>
        <v>0</v>
      </c>
      <c r="R48" s="13">
        <f t="shared" si="6"/>
        <v>0</v>
      </c>
      <c r="S48" s="13">
        <f t="shared" si="6"/>
        <v>0</v>
      </c>
      <c r="T48" s="13">
        <f t="shared" si="6"/>
        <v>0</v>
      </c>
      <c r="U48" s="13">
        <f t="shared" si="6"/>
        <v>0</v>
      </c>
      <c r="V48" s="13">
        <f t="shared" si="6"/>
        <v>0</v>
      </c>
      <c r="W48" s="13">
        <f t="shared" si="6"/>
        <v>0</v>
      </c>
      <c r="X48" s="13">
        <f t="shared" si="6"/>
        <v>0</v>
      </c>
      <c r="Y48" s="13">
        <f t="shared" si="6"/>
        <v>0</v>
      </c>
      <c r="Z48" s="13">
        <f t="shared" si="6"/>
        <v>0</v>
      </c>
      <c r="AA48" s="13">
        <f t="shared" si="6"/>
        <v>0</v>
      </c>
      <c r="AB48" s="13">
        <f t="shared" ref="AB48:AO48" si="7">(AB23+AB18)-AB11</f>
        <v>0</v>
      </c>
      <c r="AC48" s="13">
        <f t="shared" si="7"/>
        <v>0</v>
      </c>
      <c r="AD48" s="13">
        <f t="shared" si="7"/>
        <v>0</v>
      </c>
      <c r="AE48" s="13">
        <f t="shared" si="7"/>
        <v>0</v>
      </c>
      <c r="AF48" s="13">
        <f t="shared" si="7"/>
        <v>0</v>
      </c>
      <c r="AG48" s="13">
        <f t="shared" si="7"/>
        <v>0</v>
      </c>
      <c r="AH48" s="13">
        <f t="shared" si="7"/>
        <v>0</v>
      </c>
      <c r="AI48" s="13">
        <f t="shared" si="7"/>
        <v>0</v>
      </c>
      <c r="AJ48" s="13">
        <f t="shared" si="7"/>
        <v>0</v>
      </c>
      <c r="AK48" s="13">
        <f t="shared" si="7"/>
        <v>0</v>
      </c>
      <c r="AL48" s="13">
        <f t="shared" si="7"/>
        <v>0</v>
      </c>
      <c r="AM48" s="13">
        <f t="shared" si="7"/>
        <v>0</v>
      </c>
      <c r="AN48" s="13">
        <f t="shared" si="7"/>
        <v>0</v>
      </c>
      <c r="AO48" s="13">
        <f t="shared" si="7"/>
        <v>0</v>
      </c>
      <c r="AP48" s="13"/>
      <c r="AQ48" s="13"/>
      <c r="AR48" s="13"/>
      <c r="AS48" s="13"/>
      <c r="AT48" s="13"/>
      <c r="AU48" s="13"/>
      <c r="AV48" s="13"/>
      <c r="AW48" s="13"/>
      <c r="AX48" s="13"/>
    </row>
    <row r="49" spans="2:50" s="12" customFormat="1" x14ac:dyDescent="0.3">
      <c r="B49" s="15"/>
      <c r="C49" s="16"/>
      <c r="D49" s="16"/>
      <c r="E49" s="16"/>
      <c r="F49" s="16"/>
      <c r="G49" s="16"/>
      <c r="H49" s="16"/>
      <c r="I49" s="16"/>
      <c r="J49" s="16"/>
      <c r="K49" s="16"/>
      <c r="L49" s="16"/>
      <c r="M49" s="16"/>
      <c r="N49" s="16"/>
      <c r="O49" s="16"/>
      <c r="P49" s="17"/>
      <c r="Q49" s="17"/>
      <c r="R49" s="17"/>
      <c r="S49" s="17"/>
      <c r="T49" s="17"/>
      <c r="U49" s="17"/>
      <c r="V49" s="17"/>
      <c r="W49" s="17"/>
      <c r="X49" s="17"/>
      <c r="Y49" s="17"/>
      <c r="Z49" s="17"/>
      <c r="AA49" s="17"/>
      <c r="AB49" s="16"/>
      <c r="AC49" s="16"/>
      <c r="AD49" s="16"/>
      <c r="AE49" s="16"/>
      <c r="AF49" s="16"/>
      <c r="AG49" s="16"/>
      <c r="AH49" s="16"/>
      <c r="AI49" s="16"/>
      <c r="AJ49" s="16"/>
      <c r="AK49" s="16"/>
      <c r="AL49" s="16"/>
      <c r="AM49" s="16"/>
    </row>
    <row r="64" spans="2:50" x14ac:dyDescent="0.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4:50" x14ac:dyDescent="0.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4:50" x14ac:dyDescent="0.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4:50" x14ac:dyDescent="0.3">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4:50" x14ac:dyDescent="0.3">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4:50" x14ac:dyDescent="0.3">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4:50" x14ac:dyDescent="0.3">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4:50" x14ac:dyDescent="0.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4:50" x14ac:dyDescent="0.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4:50" x14ac:dyDescent="0.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sheetData>
  <mergeCells count="27">
    <mergeCell ref="ER9:FC9"/>
    <mergeCell ref="FD9:FE9"/>
    <mergeCell ref="EF9:EQ9"/>
    <mergeCell ref="B45:P45"/>
    <mergeCell ref="B44:P44"/>
    <mergeCell ref="DT9:EE9"/>
    <mergeCell ref="DH9:DS9"/>
    <mergeCell ref="B43:P43"/>
    <mergeCell ref="B37:N37"/>
    <mergeCell ref="B41:P41"/>
    <mergeCell ref="B40:P40"/>
    <mergeCell ref="CV9:DG9"/>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s>
  <phoneticPr fontId="13" type="noConversion"/>
  <hyperlinks>
    <hyperlink ref="D7:E7"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ET47"/>
  <sheetViews>
    <sheetView showGridLines="0" zoomScale="90" zoomScaleNormal="90" workbookViewId="0">
      <pane xSplit="3" ySplit="10" topLeftCell="EQ11" activePane="bottomRight" state="frozen"/>
      <selection pane="topRight" activeCell="D1" sqref="D1"/>
      <selection pane="bottomLeft" activeCell="A11" sqref="A11"/>
      <selection pane="bottomRight" activeCell="EU21" sqref="EU21"/>
    </sheetView>
  </sheetViews>
  <sheetFormatPr baseColWidth="10" defaultColWidth="11.5546875"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6640625" customWidth="1"/>
    <col min="100" max="110" width="19.5546875" customWidth="1"/>
    <col min="111" max="111" width="17.88671875" customWidth="1"/>
    <col min="112" max="113" width="18.109375" customWidth="1"/>
    <col min="114" max="114" width="14.5546875" customWidth="1"/>
    <col min="115" max="115" width="15.6640625" customWidth="1"/>
    <col min="116" max="118" width="13.88671875" customWidth="1"/>
    <col min="119" max="129" width="13.109375" bestFit="1" customWidth="1"/>
    <col min="130" max="130" width="14.77734375" bestFit="1" customWidth="1"/>
    <col min="131" max="132" width="15.6640625" customWidth="1"/>
    <col min="133" max="133" width="15.44140625" customWidth="1"/>
    <col min="134" max="134" width="14.77734375" bestFit="1" customWidth="1"/>
    <col min="135" max="148" width="14.6640625" customWidth="1"/>
    <col min="149" max="149" width="14.33203125" customWidth="1"/>
  </cols>
  <sheetData>
    <row r="1" spans="2:150" ht="4.5" customHeight="1" x14ac:dyDescent="0.3">
      <c r="CE1" t="s">
        <v>95</v>
      </c>
    </row>
    <row r="2" spans="2:150" x14ac:dyDescent="0.3">
      <c r="CV2" s="20"/>
      <c r="CW2" s="20"/>
      <c r="CX2" s="20"/>
      <c r="CY2" s="20"/>
      <c r="CZ2" s="20"/>
      <c r="DA2" s="20"/>
      <c r="DB2" s="20"/>
      <c r="DC2" s="20"/>
      <c r="DD2" s="20"/>
      <c r="DE2" s="20"/>
      <c r="DF2" s="20"/>
    </row>
    <row r="3" spans="2:150" x14ac:dyDescent="0.3">
      <c r="B3" s="46"/>
      <c r="C3" s="46"/>
      <c r="D3" s="76" t="s">
        <v>16</v>
      </c>
      <c r="E3" s="76"/>
      <c r="F3" s="76"/>
      <c r="G3" s="76"/>
      <c r="H3" s="76"/>
      <c r="I3" s="76"/>
      <c r="J3" s="76"/>
      <c r="K3" s="7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59"/>
    </row>
    <row r="4" spans="2:150" x14ac:dyDescent="0.3">
      <c r="B4" s="46"/>
      <c r="C4" s="46"/>
      <c r="D4" s="77" t="s">
        <v>33</v>
      </c>
      <c r="E4" s="77"/>
      <c r="F4" s="77"/>
      <c r="G4" s="77"/>
      <c r="H4" s="77"/>
      <c r="I4" s="77"/>
      <c r="J4" s="77"/>
      <c r="K4" s="77"/>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59"/>
    </row>
    <row r="5" spans="2:150" x14ac:dyDescent="0.3">
      <c r="D5" s="77" t="s">
        <v>125</v>
      </c>
      <c r="E5" s="77"/>
      <c r="F5" s="77"/>
      <c r="G5" s="77"/>
      <c r="H5" s="77"/>
      <c r="I5" s="77"/>
      <c r="J5" s="77"/>
      <c r="K5" s="77"/>
      <c r="BH5" s="60"/>
    </row>
    <row r="6" spans="2:150" x14ac:dyDescent="0.3">
      <c r="D6" s="77" t="s">
        <v>34</v>
      </c>
      <c r="E6" s="77"/>
      <c r="F6" s="77"/>
      <c r="G6" s="77"/>
      <c r="H6" s="77"/>
      <c r="I6" s="77"/>
      <c r="J6" s="77"/>
      <c r="K6" s="77"/>
    </row>
    <row r="7" spans="2:150" x14ac:dyDescent="0.3">
      <c r="D7" s="78" t="s">
        <v>19</v>
      </c>
      <c r="E7" s="78"/>
      <c r="F7" s="42"/>
      <c r="G7" s="42"/>
      <c r="H7" s="42"/>
      <c r="I7" s="42"/>
      <c r="J7" s="42"/>
      <c r="K7" s="42"/>
    </row>
    <row r="9" spans="2:150" x14ac:dyDescent="0.3">
      <c r="D9" s="70" t="s">
        <v>13</v>
      </c>
      <c r="E9" s="70"/>
      <c r="F9" s="70"/>
      <c r="G9" s="70"/>
      <c r="H9" s="70"/>
      <c r="I9" s="70"/>
      <c r="J9" s="70"/>
      <c r="K9" s="70"/>
      <c r="L9" s="70"/>
      <c r="M9" s="70"/>
      <c r="N9" s="70"/>
      <c r="O9" s="70"/>
      <c r="P9" s="70" t="s">
        <v>14</v>
      </c>
      <c r="Q9" s="70"/>
      <c r="R9" s="70"/>
      <c r="S9" s="70"/>
      <c r="T9" s="70"/>
      <c r="U9" s="70"/>
      <c r="V9" s="70"/>
      <c r="W9" s="70"/>
      <c r="X9" s="70"/>
      <c r="Y9" s="70"/>
      <c r="Z9" s="70"/>
      <c r="AA9" s="70"/>
      <c r="AB9" s="70" t="s">
        <v>15</v>
      </c>
      <c r="AC9" s="70"/>
      <c r="AD9" s="70"/>
      <c r="AE9" s="70"/>
      <c r="AF9" s="70"/>
      <c r="AG9" s="70"/>
      <c r="AH9" s="70"/>
      <c r="AI9" s="70"/>
      <c r="AJ9" s="70"/>
      <c r="AK9" s="70"/>
      <c r="AL9" s="70"/>
      <c r="AM9" s="70"/>
      <c r="AN9" s="70" t="s">
        <v>67</v>
      </c>
      <c r="AO9" s="70"/>
      <c r="AP9" s="70"/>
      <c r="AQ9" s="70"/>
      <c r="AR9" s="70"/>
      <c r="AS9" s="70"/>
      <c r="AT9" s="70"/>
      <c r="AU9" s="70"/>
      <c r="AV9" s="70"/>
      <c r="AW9" s="70"/>
      <c r="AX9" s="70"/>
      <c r="AY9" s="70"/>
      <c r="AZ9" s="70" t="s">
        <v>84</v>
      </c>
      <c r="BA9" s="70"/>
      <c r="BB9" s="70"/>
      <c r="BC9" s="70"/>
      <c r="BD9" s="70"/>
      <c r="BE9" s="70"/>
      <c r="BF9" s="70"/>
      <c r="BG9" s="70"/>
      <c r="BH9" s="70"/>
      <c r="BI9" s="70"/>
      <c r="BJ9" s="70"/>
      <c r="BK9" s="70"/>
      <c r="BL9" s="69" t="s">
        <v>87</v>
      </c>
      <c r="BM9" s="69"/>
      <c r="BN9" s="69"/>
      <c r="BO9" s="69"/>
      <c r="BP9" s="69"/>
      <c r="BQ9" s="69"/>
      <c r="BR9" s="69"/>
      <c r="BS9" s="69"/>
      <c r="BT9" s="69"/>
      <c r="BU9" s="69"/>
      <c r="BV9" s="69"/>
      <c r="BW9" s="69"/>
      <c r="BX9" s="73" t="s">
        <v>93</v>
      </c>
      <c r="BY9" s="73"/>
      <c r="BZ9" s="73"/>
      <c r="CA9" s="73"/>
      <c r="CB9" s="73"/>
      <c r="CC9" s="73"/>
      <c r="CD9" s="73"/>
      <c r="CE9" s="73"/>
      <c r="CF9" s="73"/>
      <c r="CG9" s="73"/>
      <c r="CH9" s="73"/>
      <c r="CI9" s="73"/>
      <c r="CJ9" s="71" t="s">
        <v>107</v>
      </c>
      <c r="CK9" s="72"/>
      <c r="CL9" s="72"/>
      <c r="CM9" s="72"/>
      <c r="CN9" s="72"/>
      <c r="CO9" s="72"/>
      <c r="CP9" s="72"/>
      <c r="CQ9" s="72"/>
      <c r="CR9" s="72"/>
      <c r="CS9" s="72"/>
      <c r="CT9" s="72"/>
      <c r="CU9" s="72"/>
      <c r="CV9" s="71" t="s">
        <v>116</v>
      </c>
      <c r="CW9" s="72"/>
      <c r="CX9" s="72"/>
      <c r="CY9" s="72"/>
      <c r="CZ9" s="72"/>
      <c r="DA9" s="72"/>
      <c r="DB9" s="72"/>
      <c r="DC9" s="72"/>
      <c r="DD9" s="72"/>
      <c r="DE9" s="72"/>
      <c r="DF9" s="72"/>
      <c r="DG9" s="72"/>
      <c r="DH9" s="74" t="s">
        <v>119</v>
      </c>
      <c r="DI9" s="75"/>
      <c r="DJ9" s="75"/>
      <c r="DK9" s="75"/>
      <c r="DL9" s="75"/>
      <c r="DM9" s="75"/>
      <c r="DN9" s="75"/>
      <c r="DO9" s="75"/>
      <c r="DP9" s="75"/>
      <c r="DQ9" s="75"/>
      <c r="DR9" s="75"/>
      <c r="DS9" s="75"/>
      <c r="DT9" s="74" t="s">
        <v>120</v>
      </c>
      <c r="DU9" s="75"/>
      <c r="DV9" s="75"/>
      <c r="DW9" s="75"/>
      <c r="DX9" s="75"/>
      <c r="DY9" s="75"/>
      <c r="DZ9" s="75"/>
      <c r="EA9" s="75"/>
      <c r="EB9" s="75"/>
      <c r="EC9" s="75"/>
      <c r="ED9" s="75"/>
      <c r="EE9" s="75"/>
      <c r="EF9" s="74" t="s">
        <v>123</v>
      </c>
      <c r="EG9" s="75"/>
      <c r="EH9" s="75"/>
      <c r="EI9" s="75"/>
      <c r="EJ9" s="75"/>
      <c r="EK9" s="75"/>
      <c r="EL9" s="75"/>
      <c r="EM9" s="75"/>
      <c r="EN9" s="75"/>
      <c r="EO9" s="75"/>
      <c r="EP9" s="75"/>
      <c r="EQ9" s="75"/>
      <c r="ER9" s="74" t="s">
        <v>126</v>
      </c>
      <c r="ES9" s="75"/>
    </row>
    <row r="10" spans="2:150" ht="16.2" x14ac:dyDescent="0.3">
      <c r="B10" s="10"/>
      <c r="C10" s="10"/>
      <c r="D10" s="43" t="s">
        <v>10</v>
      </c>
      <c r="E10" s="43" t="s">
        <v>0</v>
      </c>
      <c r="F10" s="43" t="s">
        <v>7</v>
      </c>
      <c r="G10" s="43" t="s">
        <v>8</v>
      </c>
      <c r="H10" s="43" t="s">
        <v>9</v>
      </c>
      <c r="I10" s="43" t="s">
        <v>11</v>
      </c>
      <c r="J10" s="43" t="s">
        <v>1</v>
      </c>
      <c r="K10" s="43" t="s">
        <v>12</v>
      </c>
      <c r="L10" s="43" t="s">
        <v>2</v>
      </c>
      <c r="M10" s="43" t="s">
        <v>3</v>
      </c>
      <c r="N10" s="43" t="s">
        <v>4</v>
      </c>
      <c r="O10" s="43" t="s">
        <v>5</v>
      </c>
      <c r="P10" s="43" t="s">
        <v>10</v>
      </c>
      <c r="Q10" s="43" t="s">
        <v>0</v>
      </c>
      <c r="R10" s="43" t="s">
        <v>7</v>
      </c>
      <c r="S10" s="43" t="s">
        <v>8</v>
      </c>
      <c r="T10" s="43" t="s">
        <v>9</v>
      </c>
      <c r="U10" s="43" t="s">
        <v>11</v>
      </c>
      <c r="V10" s="43" t="s">
        <v>1</v>
      </c>
      <c r="W10" s="43" t="s">
        <v>12</v>
      </c>
      <c r="X10" s="43" t="s">
        <v>2</v>
      </c>
      <c r="Y10" s="43" t="s">
        <v>3</v>
      </c>
      <c r="Z10" s="43" t="s">
        <v>4</v>
      </c>
      <c r="AA10" s="43" t="s">
        <v>5</v>
      </c>
      <c r="AB10" s="44" t="s">
        <v>10</v>
      </c>
      <c r="AC10" s="44" t="s">
        <v>0</v>
      </c>
      <c r="AD10" s="44" t="s">
        <v>7</v>
      </c>
      <c r="AE10" s="44" t="s">
        <v>8</v>
      </c>
      <c r="AF10" s="44" t="s">
        <v>9</v>
      </c>
      <c r="AG10" s="44" t="s">
        <v>53</v>
      </c>
      <c r="AH10" s="44" t="s">
        <v>1</v>
      </c>
      <c r="AI10" s="44" t="s">
        <v>12</v>
      </c>
      <c r="AJ10" s="44" t="s">
        <v>2</v>
      </c>
      <c r="AK10" s="44" t="s">
        <v>3</v>
      </c>
      <c r="AL10" s="44" t="s">
        <v>4</v>
      </c>
      <c r="AM10" s="44" t="s">
        <v>74</v>
      </c>
      <c r="AN10" s="43" t="s">
        <v>10</v>
      </c>
      <c r="AO10" s="43" t="s">
        <v>0</v>
      </c>
      <c r="AP10" s="43" t="s">
        <v>7</v>
      </c>
      <c r="AQ10" s="43" t="s">
        <v>8</v>
      </c>
      <c r="AR10" s="43" t="s">
        <v>9</v>
      </c>
      <c r="AS10" s="43" t="s">
        <v>53</v>
      </c>
      <c r="AT10" s="45" t="s">
        <v>78</v>
      </c>
      <c r="AU10" s="43" t="s">
        <v>12</v>
      </c>
      <c r="AV10" s="43" t="s">
        <v>2</v>
      </c>
      <c r="AW10" s="43" t="s">
        <v>3</v>
      </c>
      <c r="AX10" s="43" t="s">
        <v>4</v>
      </c>
      <c r="AY10" s="43" t="s">
        <v>83</v>
      </c>
      <c r="AZ10" s="43" t="s">
        <v>10</v>
      </c>
      <c r="BA10" s="43" t="s">
        <v>0</v>
      </c>
      <c r="BB10" s="43" t="s">
        <v>7</v>
      </c>
      <c r="BC10" s="43" t="s">
        <v>8</v>
      </c>
      <c r="BD10" s="43" t="s">
        <v>9</v>
      </c>
      <c r="BE10" s="43" t="s">
        <v>11</v>
      </c>
      <c r="BF10" s="43" t="s">
        <v>1</v>
      </c>
      <c r="BG10" s="43" t="s">
        <v>12</v>
      </c>
      <c r="BH10" s="43" t="s">
        <v>86</v>
      </c>
      <c r="BI10" s="43" t="s">
        <v>3</v>
      </c>
      <c r="BJ10" s="43" t="s">
        <v>4</v>
      </c>
      <c r="BK10" s="43" t="s">
        <v>5</v>
      </c>
      <c r="BL10" s="43" t="s">
        <v>10</v>
      </c>
      <c r="BM10" s="43" t="s">
        <v>0</v>
      </c>
      <c r="BN10" s="43" t="s">
        <v>7</v>
      </c>
      <c r="BO10" s="43" t="s">
        <v>8</v>
      </c>
      <c r="BP10" s="43" t="s">
        <v>9</v>
      </c>
      <c r="BQ10" s="43" t="s">
        <v>11</v>
      </c>
      <c r="BR10" s="45" t="s">
        <v>91</v>
      </c>
      <c r="BS10" s="45" t="s">
        <v>92</v>
      </c>
      <c r="BT10" s="43" t="s">
        <v>2</v>
      </c>
      <c r="BU10" s="43" t="s">
        <v>88</v>
      </c>
      <c r="BV10" s="43" t="s">
        <v>4</v>
      </c>
      <c r="BW10" s="43" t="s">
        <v>5</v>
      </c>
      <c r="BX10" s="45" t="s">
        <v>10</v>
      </c>
      <c r="BY10" s="45" t="s">
        <v>0</v>
      </c>
      <c r="BZ10" s="45" t="s">
        <v>7</v>
      </c>
      <c r="CA10" s="45" t="s">
        <v>8</v>
      </c>
      <c r="CB10" s="45" t="s">
        <v>97</v>
      </c>
      <c r="CC10" s="45" t="s">
        <v>98</v>
      </c>
      <c r="CD10" s="45" t="s">
        <v>1</v>
      </c>
      <c r="CE10" s="45" t="s">
        <v>12</v>
      </c>
      <c r="CF10" s="45" t="s">
        <v>2</v>
      </c>
      <c r="CG10" s="45" t="s">
        <v>3</v>
      </c>
      <c r="CH10" s="45" t="s">
        <v>4</v>
      </c>
      <c r="CI10" s="45" t="s">
        <v>5</v>
      </c>
      <c r="CJ10" s="45" t="s">
        <v>105</v>
      </c>
      <c r="CK10" s="45" t="s">
        <v>108</v>
      </c>
      <c r="CL10" s="45" t="s">
        <v>112</v>
      </c>
      <c r="CM10" s="45" t="s">
        <v>8</v>
      </c>
      <c r="CN10" s="45" t="s">
        <v>9</v>
      </c>
      <c r="CO10" s="45" t="s">
        <v>11</v>
      </c>
      <c r="CP10" s="45" t="s">
        <v>1</v>
      </c>
      <c r="CQ10" s="45" t="s">
        <v>12</v>
      </c>
      <c r="CR10" s="45" t="s">
        <v>2</v>
      </c>
      <c r="CS10" s="45" t="s">
        <v>3</v>
      </c>
      <c r="CT10" s="45" t="s">
        <v>4</v>
      </c>
      <c r="CU10" s="45" t="s">
        <v>5</v>
      </c>
      <c r="CV10" s="45" t="s">
        <v>10</v>
      </c>
      <c r="CW10" s="45" t="s">
        <v>0</v>
      </c>
      <c r="CX10" s="45" t="s">
        <v>7</v>
      </c>
      <c r="CY10" s="45" t="s">
        <v>8</v>
      </c>
      <c r="CZ10" s="45" t="s">
        <v>9</v>
      </c>
      <c r="DA10" s="45" t="s">
        <v>11</v>
      </c>
      <c r="DB10" s="45" t="s">
        <v>1</v>
      </c>
      <c r="DC10" s="45" t="s">
        <v>12</v>
      </c>
      <c r="DD10" s="45" t="s">
        <v>2</v>
      </c>
      <c r="DE10" s="45" t="s">
        <v>3</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row>
    <row r="11" spans="2:150" x14ac:dyDescent="0.3">
      <c r="B11" s="27">
        <v>1</v>
      </c>
      <c r="C11" s="28" t="s">
        <v>20</v>
      </c>
      <c r="D11" s="35"/>
      <c r="E11" s="35"/>
      <c r="F11" s="35"/>
      <c r="G11" s="35">
        <v>75694.617240000007</v>
      </c>
      <c r="H11" s="35">
        <v>79723.219169999997</v>
      </c>
      <c r="I11" s="35">
        <v>79806.080910000004</v>
      </c>
      <c r="J11" s="35">
        <v>95610.099170000001</v>
      </c>
      <c r="K11" s="35">
        <v>95714.932620000007</v>
      </c>
      <c r="L11" s="35">
        <v>98472.872399999993</v>
      </c>
      <c r="M11" s="35">
        <v>103986.91131000001</v>
      </c>
      <c r="N11" s="35">
        <v>104012.07256999999</v>
      </c>
      <c r="O11" s="35">
        <v>106938.87583</v>
      </c>
      <c r="P11" s="22">
        <v>112459.85208000001</v>
      </c>
      <c r="Q11" s="22">
        <v>115579.22175</v>
      </c>
      <c r="R11" s="22">
        <v>118634.32746</v>
      </c>
      <c r="S11" s="22">
        <v>121572.76845</v>
      </c>
      <c r="T11" s="22">
        <v>124656.71650000001</v>
      </c>
      <c r="U11" s="22">
        <v>127632.78541</v>
      </c>
      <c r="V11" s="22">
        <v>130736.32670999999</v>
      </c>
      <c r="W11" s="22">
        <v>134053.24718000001</v>
      </c>
      <c r="X11" s="22">
        <v>137066.65774</v>
      </c>
      <c r="Y11" s="22">
        <v>140181.90850999998</v>
      </c>
      <c r="Z11" s="22">
        <v>143294.89079</v>
      </c>
      <c r="AA11" s="22">
        <v>146388.50107</v>
      </c>
      <c r="AB11" s="22">
        <v>149429.12607</v>
      </c>
      <c r="AC11" s="22">
        <v>152465.85595000003</v>
      </c>
      <c r="AD11" s="22">
        <v>155335.75805</v>
      </c>
      <c r="AE11" s="22">
        <v>158447.57449</v>
      </c>
      <c r="AF11" s="22">
        <v>161690.83991000004</v>
      </c>
      <c r="AG11" s="22">
        <v>164902.41965000003</v>
      </c>
      <c r="AH11" s="22">
        <v>168181.78159999999</v>
      </c>
      <c r="AI11" s="22">
        <v>201850.21295000002</v>
      </c>
      <c r="AJ11" s="22">
        <v>205372.62917</v>
      </c>
      <c r="AK11" s="22">
        <v>181978.45221000002</v>
      </c>
      <c r="AL11" s="22">
        <v>214610.26259999999</v>
      </c>
      <c r="AM11" s="22">
        <v>214901.16497000001</v>
      </c>
      <c r="AN11" s="22">
        <v>214676.34898000001</v>
      </c>
      <c r="AO11" s="22">
        <v>217249.18317</v>
      </c>
      <c r="AP11" s="22">
        <v>259827.38329999999</v>
      </c>
      <c r="AQ11" s="22">
        <v>264086.85930000001</v>
      </c>
      <c r="AR11" s="22">
        <v>266633.96498000005</v>
      </c>
      <c r="AS11" s="22">
        <v>269043.05189</v>
      </c>
      <c r="AT11" s="22">
        <v>272137.85358</v>
      </c>
      <c r="AU11" s="22">
        <v>274908.2855</v>
      </c>
      <c r="AV11" s="22">
        <v>278572.85558999999</v>
      </c>
      <c r="AW11" s="22">
        <v>282202.52895000001</v>
      </c>
      <c r="AX11" s="22">
        <v>286524.95299999998</v>
      </c>
      <c r="AY11" s="22">
        <v>289778.85935000004</v>
      </c>
      <c r="AZ11" s="22">
        <v>293312.15129000001</v>
      </c>
      <c r="BA11" s="22">
        <v>292411.49562000006</v>
      </c>
      <c r="BB11" s="22">
        <v>301087.33512</v>
      </c>
      <c r="BC11" s="22">
        <v>305655.50400000007</v>
      </c>
      <c r="BD11" s="22">
        <v>309181.50884000002</v>
      </c>
      <c r="BE11" s="22">
        <v>313378.23868000001</v>
      </c>
      <c r="BF11" s="22">
        <v>317940.98186</v>
      </c>
      <c r="BG11" s="22">
        <v>322323.78662999999</v>
      </c>
      <c r="BH11" s="22">
        <v>326816.41220999998</v>
      </c>
      <c r="BI11" s="22">
        <v>331282.66715999995</v>
      </c>
      <c r="BJ11" s="22">
        <v>330892.79903999995</v>
      </c>
      <c r="BK11" s="22">
        <v>340992.91488000005</v>
      </c>
      <c r="BL11" s="22">
        <v>341192.90028000006</v>
      </c>
      <c r="BM11" s="22">
        <v>346492.15136999998</v>
      </c>
      <c r="BN11" s="22">
        <v>357213.23659999995</v>
      </c>
      <c r="BO11" s="22">
        <v>357308.66392000002</v>
      </c>
      <c r="BP11" s="22">
        <v>362899.37947000004</v>
      </c>
      <c r="BQ11" s="22">
        <v>368723.82351000007</v>
      </c>
      <c r="BR11" s="22">
        <v>376802.76355000009</v>
      </c>
      <c r="BS11" s="22">
        <v>383285.85804000002</v>
      </c>
      <c r="BT11" s="22">
        <v>390663.23988999997</v>
      </c>
      <c r="BU11" s="22">
        <v>396310.47162000003</v>
      </c>
      <c r="BV11" s="22">
        <v>403040.29021000001</v>
      </c>
      <c r="BW11" s="22">
        <v>415042.20556999999</v>
      </c>
      <c r="BX11" s="22">
        <v>415622.50606999994</v>
      </c>
      <c r="BY11" s="22">
        <v>423514.77004999999</v>
      </c>
      <c r="BZ11" s="22">
        <v>435752.67379999999</v>
      </c>
      <c r="CA11" s="22">
        <v>436722.20372000005</v>
      </c>
      <c r="CB11" s="22">
        <v>437478.38364000001</v>
      </c>
      <c r="CC11" s="22">
        <v>438068.45302000002</v>
      </c>
      <c r="CD11" s="22">
        <v>458735.73505999998</v>
      </c>
      <c r="CE11" s="22">
        <v>471037.79149000003</v>
      </c>
      <c r="CF11" s="22">
        <v>472416.70958000002</v>
      </c>
      <c r="CG11" s="22">
        <v>484956.53638000001</v>
      </c>
      <c r="CH11" s="22">
        <v>492224.76750000002</v>
      </c>
      <c r="CI11" s="22">
        <v>500502.36975999997</v>
      </c>
      <c r="CJ11" s="22">
        <v>501142.49078000005</v>
      </c>
      <c r="CK11" s="22">
        <v>501636.95724000002</v>
      </c>
      <c r="CL11" s="22">
        <v>502799.27208999998</v>
      </c>
      <c r="CM11" s="22">
        <f>526333558.17/1000</f>
        <v>526333.55816999997</v>
      </c>
      <c r="CN11" s="22">
        <f>535406745.14/1000</f>
        <v>535406.74514000001</v>
      </c>
      <c r="CO11" s="22">
        <f>549631676.08/1000</f>
        <v>549631.67608</v>
      </c>
      <c r="CP11" s="22">
        <f>+VLOOKUP(B11,'[1]Est. Sit. FSDSFPS'!$A$5:$CL$21,90,0)/1000</f>
        <v>551858.27017000003</v>
      </c>
      <c r="CQ11" s="22">
        <f>570502638.88/1000</f>
        <v>570502.63887999998</v>
      </c>
      <c r="CR11" s="22">
        <f>579394971.49/1000</f>
        <v>579394.97149000003</v>
      </c>
      <c r="CS11" s="22">
        <f>580332425.29/1000</f>
        <v>580332.42528999993</v>
      </c>
      <c r="CT11" s="22">
        <v>597414.51008999988</v>
      </c>
      <c r="CU11" s="22">
        <f>607148364.74/1000</f>
        <v>607148.36473999999</v>
      </c>
      <c r="CV11" s="22">
        <v>614769.19358999992</v>
      </c>
      <c r="CW11" s="22">
        <v>625158.38710000005</v>
      </c>
      <c r="CX11" s="22">
        <v>636729.61004000006</v>
      </c>
      <c r="CY11" s="22">
        <v>646259.42565999995</v>
      </c>
      <c r="CZ11" s="22">
        <v>651442.73885000008</v>
      </c>
      <c r="DA11" s="22">
        <v>663840.23006000009</v>
      </c>
      <c r="DB11" s="22">
        <v>677707.81497000006</v>
      </c>
      <c r="DC11" s="22">
        <v>686213.91237999999</v>
      </c>
      <c r="DD11" s="22">
        <v>697876.26887000003</v>
      </c>
      <c r="DE11" s="22">
        <v>710098.37184000004</v>
      </c>
      <c r="DF11" s="22">
        <v>722675.86157000007</v>
      </c>
      <c r="DG11" s="22">
        <v>735103.72719000001</v>
      </c>
      <c r="DH11" s="22">
        <v>748082.77639000001</v>
      </c>
      <c r="DI11" s="22">
        <v>760530.0146900001</v>
      </c>
      <c r="DJ11" s="22">
        <v>777423.34933</v>
      </c>
      <c r="DK11" s="22">
        <v>791964.55731999991</v>
      </c>
      <c r="DL11" s="22">
        <v>806066.69600999996</v>
      </c>
      <c r="DM11" s="22">
        <v>820101.30660999997</v>
      </c>
      <c r="DN11" s="22">
        <v>834249.29495999997</v>
      </c>
      <c r="DO11" s="22">
        <v>845083.06937000004</v>
      </c>
      <c r="DP11" s="22">
        <v>861896.40840999992</v>
      </c>
      <c r="DQ11" s="22">
        <v>876296.80029000004</v>
      </c>
      <c r="DR11" s="22">
        <v>889609.52364999999</v>
      </c>
      <c r="DS11" s="22">
        <v>904050.57919000008</v>
      </c>
      <c r="DT11" s="22">
        <v>914651.83259999985</v>
      </c>
      <c r="DU11" s="22">
        <v>928125.86560000002</v>
      </c>
      <c r="DV11" s="22">
        <v>929306.62844</v>
      </c>
      <c r="DW11" s="22">
        <v>950574.56102000002</v>
      </c>
      <c r="DX11" s="22">
        <f>979243246.33/1000</f>
        <v>979243.24632999999</v>
      </c>
      <c r="DY11" s="22">
        <v>979243.24632999988</v>
      </c>
      <c r="DZ11" s="22">
        <v>995086.54229000001</v>
      </c>
      <c r="EA11" s="22">
        <v>1011108.2926899999</v>
      </c>
      <c r="EB11" s="22">
        <v>1016423.90536</v>
      </c>
      <c r="EC11" s="22">
        <v>1042300.8541900001</v>
      </c>
      <c r="ED11" s="22">
        <v>1053601.26633</v>
      </c>
      <c r="EE11" s="22">
        <v>1112946.76134</v>
      </c>
      <c r="EF11" s="22">
        <v>1100481.4702699999</v>
      </c>
      <c r="EG11" s="22">
        <v>1103451.1015699999</v>
      </c>
      <c r="EH11" s="22">
        <v>1152323.37873</v>
      </c>
      <c r="EI11" s="22">
        <v>1143891.49814</v>
      </c>
      <c r="EJ11" s="22">
        <v>1141564.6828299998</v>
      </c>
      <c r="EK11" s="22">
        <v>1153895.56574</v>
      </c>
      <c r="EL11" s="22">
        <v>1168126.4902999999</v>
      </c>
      <c r="EM11" s="22">
        <v>1242518.2798799998</v>
      </c>
      <c r="EN11" s="22">
        <v>1250158.46337</v>
      </c>
      <c r="EO11" s="22">
        <v>1205046.6366199998</v>
      </c>
      <c r="EP11" s="22">
        <v>1209807.6905699999</v>
      </c>
      <c r="EQ11" s="22">
        <v>1222369.0138699999</v>
      </c>
      <c r="ER11" s="22">
        <v>1232012.1573800002</v>
      </c>
      <c r="ES11" s="22">
        <v>1241909.9396599999</v>
      </c>
      <c r="ET11" s="66"/>
    </row>
    <row r="12" spans="2:150" x14ac:dyDescent="0.3">
      <c r="B12" s="27" t="s">
        <v>21</v>
      </c>
      <c r="C12" s="29" t="s">
        <v>22</v>
      </c>
      <c r="D12" s="36"/>
      <c r="E12" s="36"/>
      <c r="F12" s="36"/>
      <c r="G12" s="36">
        <v>15007.142810000001</v>
      </c>
      <c r="H12" s="36">
        <v>18891.521699999998</v>
      </c>
      <c r="I12" s="36">
        <v>18220.143780000002</v>
      </c>
      <c r="J12" s="36">
        <v>33928.404399999999</v>
      </c>
      <c r="K12" s="36">
        <v>29727.727039999998</v>
      </c>
      <c r="L12" s="36">
        <v>42469.57993</v>
      </c>
      <c r="M12" s="36">
        <v>80368.216260000001</v>
      </c>
      <c r="N12" s="36">
        <v>69824.786630000002</v>
      </c>
      <c r="O12" s="36">
        <v>72529.60441</v>
      </c>
      <c r="P12" s="61">
        <v>77945.369500000001</v>
      </c>
      <c r="Q12" s="61">
        <v>66081.821079999994</v>
      </c>
      <c r="R12" s="61">
        <v>58407.429229999994</v>
      </c>
      <c r="S12" s="61">
        <v>40890.248450000006</v>
      </c>
      <c r="T12" s="61">
        <v>43824.354490000005</v>
      </c>
      <c r="U12" s="61">
        <v>26324.40739</v>
      </c>
      <c r="V12" s="61">
        <v>54347.630429999997</v>
      </c>
      <c r="W12" s="61">
        <v>72674.33597</v>
      </c>
      <c r="X12" s="61">
        <v>66537.491280000002</v>
      </c>
      <c r="Y12" s="61">
        <v>71383.12337999999</v>
      </c>
      <c r="Z12" s="61">
        <v>74430.771919999999</v>
      </c>
      <c r="AA12" s="61">
        <v>77467.321530000001</v>
      </c>
      <c r="AB12" s="61">
        <v>80585.337430000014</v>
      </c>
      <c r="AC12" s="61">
        <v>83508.125180000003</v>
      </c>
      <c r="AD12" s="23">
        <v>41582.043619999997</v>
      </c>
      <c r="AE12" s="23">
        <v>26552.664399999998</v>
      </c>
      <c r="AF12" s="23">
        <v>15962.509470000001</v>
      </c>
      <c r="AG12" s="23">
        <v>19126.463800000001</v>
      </c>
      <c r="AH12" s="23">
        <v>22521.57501</v>
      </c>
      <c r="AI12" s="23">
        <v>55593.736490000003</v>
      </c>
      <c r="AJ12" s="23">
        <v>58440.405639999997</v>
      </c>
      <c r="AK12" s="23">
        <v>71891.692219999997</v>
      </c>
      <c r="AL12" s="23">
        <v>75204.688349999997</v>
      </c>
      <c r="AM12" s="23">
        <v>79053.09298999999</v>
      </c>
      <c r="AN12" s="23">
        <v>63363.549119999996</v>
      </c>
      <c r="AO12" s="23">
        <v>67377.901159999994</v>
      </c>
      <c r="AP12" s="23">
        <v>70706.900320000001</v>
      </c>
      <c r="AQ12" s="23">
        <v>75562.349060000008</v>
      </c>
      <c r="AR12" s="23">
        <v>78854.812040000004</v>
      </c>
      <c r="AS12" s="23">
        <v>78617.310539999991</v>
      </c>
      <c r="AT12" s="23">
        <v>84053.024780000007</v>
      </c>
      <c r="AU12" s="23">
        <v>88033.612439999997</v>
      </c>
      <c r="AV12" s="23">
        <v>68302.254939999999</v>
      </c>
      <c r="AW12" s="23">
        <v>72553.321620000002</v>
      </c>
      <c r="AX12" s="23">
        <v>80284.073940000002</v>
      </c>
      <c r="AY12" s="23">
        <v>87023.170290000009</v>
      </c>
      <c r="AZ12" s="23">
        <v>91742.258809999999</v>
      </c>
      <c r="BA12" s="23">
        <v>91756.830490000008</v>
      </c>
      <c r="BB12" s="23">
        <v>108750.18524999999</v>
      </c>
      <c r="BC12" s="23">
        <v>111824.85712999999</v>
      </c>
      <c r="BD12" s="23">
        <v>114569.31934</v>
      </c>
      <c r="BE12" s="23">
        <v>117087.92942</v>
      </c>
      <c r="BF12" s="23">
        <v>121764.84967</v>
      </c>
      <c r="BG12" s="23">
        <v>125108.8423</v>
      </c>
      <c r="BH12" s="23">
        <v>131536.46808999998</v>
      </c>
      <c r="BI12" s="23">
        <v>137414.50313</v>
      </c>
      <c r="BJ12" s="23">
        <v>137633.39891999998</v>
      </c>
      <c r="BK12" s="23">
        <v>149327.41668999998</v>
      </c>
      <c r="BL12" s="23">
        <v>124364.52856999999</v>
      </c>
      <c r="BM12" s="23">
        <v>129110.68061999998</v>
      </c>
      <c r="BN12" s="23">
        <v>145774.14247999998</v>
      </c>
      <c r="BO12" s="23">
        <v>125865.73856999999</v>
      </c>
      <c r="BP12" s="23">
        <v>129295.92067000001</v>
      </c>
      <c r="BQ12" s="23">
        <v>134711.0784</v>
      </c>
      <c r="BR12" s="23">
        <v>142150.08091000002</v>
      </c>
      <c r="BS12" s="23">
        <v>152552.60886000001</v>
      </c>
      <c r="BT12" s="23">
        <v>57174.898829999998</v>
      </c>
      <c r="BU12" s="23">
        <v>169453.94308000003</v>
      </c>
      <c r="BV12" s="23">
        <v>136324.36297999998</v>
      </c>
      <c r="BW12" s="23">
        <v>140562.26058</v>
      </c>
      <c r="BX12" s="23">
        <v>174419.14129</v>
      </c>
      <c r="BY12" s="23">
        <v>87818.778449999998</v>
      </c>
      <c r="BZ12" s="23">
        <v>85577.666360000003</v>
      </c>
      <c r="CA12" s="23">
        <v>68059.570619999999</v>
      </c>
      <c r="CB12" s="23">
        <v>137110.32373000003</v>
      </c>
      <c r="CC12" s="23">
        <v>147121.65046</v>
      </c>
      <c r="CD12" s="23">
        <v>169278.74995</v>
      </c>
      <c r="CE12" s="23">
        <v>151309.62677999999</v>
      </c>
      <c r="CF12" s="23">
        <v>111972.39604000001</v>
      </c>
      <c r="CG12" s="23">
        <v>183580.3095</v>
      </c>
      <c r="CH12" s="23">
        <v>140843.25975999999</v>
      </c>
      <c r="CI12" s="23">
        <v>140626.03</v>
      </c>
      <c r="CJ12" s="23">
        <v>122495.85767</v>
      </c>
      <c r="CK12" s="23">
        <v>127820.23404</v>
      </c>
      <c r="CL12" s="23">
        <v>106163.9368</v>
      </c>
      <c r="CM12" s="23">
        <f>127939991.01/1000</f>
        <v>127939.99101000001</v>
      </c>
      <c r="CN12" s="23">
        <f>136666262.29/1000</f>
        <v>136666.26228999998</v>
      </c>
      <c r="CO12" s="23">
        <f>150704724.99/1000</f>
        <v>150704.72499000002</v>
      </c>
      <c r="CP12" s="23">
        <f>+VLOOKUP(B12,'[1]Est. Sit. FSDSFPS'!$A$5:$CL$21,90,0)/1000</f>
        <v>132739.23123999999</v>
      </c>
      <c r="CQ12" s="23">
        <f>126123416.41/1000</f>
        <v>126123.41640999999</v>
      </c>
      <c r="CR12" s="23">
        <f>131649007.63/1000</f>
        <v>131649.00763000001</v>
      </c>
      <c r="CS12" s="23">
        <f>132745916.44/1000</f>
        <v>132745.91644</v>
      </c>
      <c r="CT12" s="23">
        <v>154527.59713000001</v>
      </c>
      <c r="CU12" s="23">
        <f>141501070.75/1000</f>
        <v>141501.07075000001</v>
      </c>
      <c r="CV12" s="23">
        <v>150441.85096000001</v>
      </c>
      <c r="CW12" s="23">
        <v>196512.64903</v>
      </c>
      <c r="CX12" s="23">
        <v>220132.84466999999</v>
      </c>
      <c r="CY12" s="23">
        <v>182794.09821999999</v>
      </c>
      <c r="CZ12" s="23">
        <v>25256.519909999999</v>
      </c>
      <c r="DA12" s="23">
        <v>55046.150840000002</v>
      </c>
      <c r="DB12" s="23">
        <v>25290.428210000002</v>
      </c>
      <c r="DC12" s="23">
        <v>33770.702829999995</v>
      </c>
      <c r="DD12" s="23">
        <v>28814.182059999999</v>
      </c>
      <c r="DE12" s="23">
        <v>43284.868139999999</v>
      </c>
      <c r="DF12" s="23">
        <v>44159.890960000004</v>
      </c>
      <c r="DG12" s="23">
        <v>25801.991550000002</v>
      </c>
      <c r="DH12" s="23">
        <v>29031.250339999999</v>
      </c>
      <c r="DI12" s="23">
        <v>22014.683290000001</v>
      </c>
      <c r="DJ12" s="23">
        <v>35584.069289999999</v>
      </c>
      <c r="DK12" s="23">
        <v>32614.113920000003</v>
      </c>
      <c r="DL12" s="23">
        <v>35905.055639999999</v>
      </c>
      <c r="DM12" s="23">
        <v>32016.118260000003</v>
      </c>
      <c r="DN12" s="23">
        <v>30653.88681</v>
      </c>
      <c r="DO12" s="23">
        <v>25332.727749999998</v>
      </c>
      <c r="DP12" s="23">
        <v>34066.210290000003</v>
      </c>
      <c r="DQ12" s="23">
        <v>42084.801100000004</v>
      </c>
      <c r="DR12" s="23">
        <v>55418.171110000003</v>
      </c>
      <c r="DS12" s="23">
        <v>68171.25095999999</v>
      </c>
      <c r="DT12" s="23">
        <v>87856.011790000004</v>
      </c>
      <c r="DU12" s="23">
        <v>79577.217099999994</v>
      </c>
      <c r="DV12" s="23">
        <v>53924.045229999996</v>
      </c>
      <c r="DW12" s="23">
        <v>55350.745430000003</v>
      </c>
      <c r="DX12" s="23">
        <v>74983.715150000004</v>
      </c>
      <c r="DY12" s="23">
        <v>74983.715150000004</v>
      </c>
      <c r="DZ12" s="23">
        <v>35410.657880000006</v>
      </c>
      <c r="EA12" s="23">
        <v>19401.730629999998</v>
      </c>
      <c r="EB12" s="23">
        <v>26166.597470000001</v>
      </c>
      <c r="EC12" s="23">
        <v>98449.661739999996</v>
      </c>
      <c r="ED12" s="23">
        <v>106127.78194</v>
      </c>
      <c r="EE12" s="23">
        <v>87488.042400000006</v>
      </c>
      <c r="EF12" s="23">
        <v>125739.67901000001</v>
      </c>
      <c r="EG12" s="23">
        <v>138728.89822999999</v>
      </c>
      <c r="EH12" s="23">
        <v>140249.78692000001</v>
      </c>
      <c r="EI12" s="23">
        <v>165698.92397</v>
      </c>
      <c r="EJ12" s="23">
        <v>181943.92375999998</v>
      </c>
      <c r="EK12" s="23">
        <v>147340.34880000001</v>
      </c>
      <c r="EL12" s="23">
        <v>167456.0091</v>
      </c>
      <c r="EM12" s="23">
        <v>128047.13743</v>
      </c>
      <c r="EN12" s="23">
        <v>146026.6501</v>
      </c>
      <c r="EO12" s="23">
        <v>40996.20549</v>
      </c>
      <c r="EP12" s="23">
        <v>55792.911890000003</v>
      </c>
      <c r="EQ12" s="23">
        <v>68673.905809999997</v>
      </c>
      <c r="ER12" s="23">
        <v>109148.17018</v>
      </c>
      <c r="ES12" s="23">
        <v>425502.24851</v>
      </c>
      <c r="ET12" s="66"/>
    </row>
    <row r="13" spans="2:150" x14ac:dyDescent="0.3">
      <c r="B13" s="27" t="s">
        <v>23</v>
      </c>
      <c r="C13" s="29" t="s">
        <v>24</v>
      </c>
      <c r="D13" s="36"/>
      <c r="E13" s="36"/>
      <c r="F13" s="36"/>
      <c r="G13" s="36">
        <v>60120.081130000006</v>
      </c>
      <c r="H13" s="36">
        <v>60203.481189999999</v>
      </c>
      <c r="I13" s="36">
        <v>60286.165590000004</v>
      </c>
      <c r="J13" s="36">
        <v>60374.132969999999</v>
      </c>
      <c r="K13" s="36">
        <v>64669.994810000004</v>
      </c>
      <c r="L13" s="36">
        <v>54686.729319999999</v>
      </c>
      <c r="M13" s="36">
        <v>12020.46</v>
      </c>
      <c r="N13" s="36">
        <v>22060.127519999998</v>
      </c>
      <c r="O13" s="36">
        <v>22085.004649999999</v>
      </c>
      <c r="P13" s="61">
        <v>22128.729030000002</v>
      </c>
      <c r="Q13" s="61">
        <v>32128.729030000002</v>
      </c>
      <c r="R13" s="61">
        <v>42673.163939999999</v>
      </c>
      <c r="S13" s="61">
        <v>62752.24353</v>
      </c>
      <c r="T13" s="61">
        <v>62850.921820000003</v>
      </c>
      <c r="U13" s="61">
        <v>82907.101730000009</v>
      </c>
      <c r="V13" s="61">
        <v>57993.172549999996</v>
      </c>
      <c r="W13" s="61">
        <v>42927.980510000001</v>
      </c>
      <c r="X13" s="61">
        <v>43404.651389999999</v>
      </c>
      <c r="Y13" s="61">
        <v>42904.651389999999</v>
      </c>
      <c r="Z13" s="61">
        <v>42904.651389999999</v>
      </c>
      <c r="AA13" s="61">
        <v>42904.651389999999</v>
      </c>
      <c r="AB13" s="61">
        <v>42904.651389999999</v>
      </c>
      <c r="AC13" s="61">
        <v>42904.651389999999</v>
      </c>
      <c r="AD13" s="23">
        <v>87709.604650000008</v>
      </c>
      <c r="AE13" s="23">
        <v>105754.65026000001</v>
      </c>
      <c r="AF13" s="23">
        <v>119382.06061</v>
      </c>
      <c r="AG13" s="23">
        <v>119507.52868</v>
      </c>
      <c r="AH13" s="23">
        <v>119311.41996</v>
      </c>
      <c r="AI13" s="23">
        <v>119216.0865</v>
      </c>
      <c r="AJ13" s="23">
        <v>119202.19898</v>
      </c>
      <c r="AK13" s="23">
        <v>109531.1992</v>
      </c>
      <c r="AL13" s="23">
        <v>109653.27772</v>
      </c>
      <c r="AM13" s="23">
        <v>109779.94339</v>
      </c>
      <c r="AN13" s="23">
        <v>129732.12118999999</v>
      </c>
      <c r="AO13" s="23">
        <v>129554.45437000001</v>
      </c>
      <c r="AP13" s="23">
        <v>169510.80224000002</v>
      </c>
      <c r="AQ13" s="23">
        <v>169455.59641999999</v>
      </c>
      <c r="AR13" s="23">
        <v>169579.19238999998</v>
      </c>
      <c r="AS13" s="23">
        <v>170149.15513999999</v>
      </c>
      <c r="AT13" s="23">
        <v>170274.48416999998</v>
      </c>
      <c r="AU13" s="23">
        <v>170132.98237000001</v>
      </c>
      <c r="AV13" s="23">
        <v>195257.85475999999</v>
      </c>
      <c r="AW13" s="23">
        <v>195380.59615</v>
      </c>
      <c r="AX13" s="23">
        <v>190465.85418999998</v>
      </c>
      <c r="AY13" s="23">
        <v>185413.58238000001</v>
      </c>
      <c r="AZ13" s="23">
        <v>185715.04786000002</v>
      </c>
      <c r="BA13" s="23">
        <v>185562.76472000001</v>
      </c>
      <c r="BB13" s="23">
        <v>179172.73355</v>
      </c>
      <c r="BC13" s="23">
        <v>179301.87646</v>
      </c>
      <c r="BD13" s="23">
        <v>180801.64963999999</v>
      </c>
      <c r="BE13" s="23">
        <v>183776.40143999999</v>
      </c>
      <c r="BF13" s="23">
        <v>184569.83150999999</v>
      </c>
      <c r="BG13" s="23">
        <v>186363.45708000002</v>
      </c>
      <c r="BH13" s="23">
        <v>186337.95058999999</v>
      </c>
      <c r="BI13" s="23">
        <v>186485.33300000001</v>
      </c>
      <c r="BJ13" s="23">
        <v>186628.64336000002</v>
      </c>
      <c r="BK13" s="23">
        <v>185193.5944</v>
      </c>
      <c r="BL13" s="23">
        <v>210320.10141999999</v>
      </c>
      <c r="BM13" s="23">
        <v>210939.72224999999</v>
      </c>
      <c r="BN13" s="23">
        <v>206563.26880000002</v>
      </c>
      <c r="BO13" s="23">
        <v>226805.29115999999</v>
      </c>
      <c r="BP13" s="23">
        <v>228874.61887999999</v>
      </c>
      <c r="BQ13" s="23">
        <v>229361.76157</v>
      </c>
      <c r="BR13" s="23">
        <v>230775.97128</v>
      </c>
      <c r="BS13" s="23">
        <v>228394.98827</v>
      </c>
      <c r="BT13" s="23">
        <v>330940.27254000003</v>
      </c>
      <c r="BU13" s="23">
        <v>224155.82809</v>
      </c>
      <c r="BV13" s="23">
        <v>263826.95165</v>
      </c>
      <c r="BW13" s="23">
        <v>271269.54843000002</v>
      </c>
      <c r="BX13" s="23">
        <v>234948.31151</v>
      </c>
      <c r="BY13" s="23">
        <v>329282.58743000001</v>
      </c>
      <c r="BZ13" s="23">
        <v>343617.21745999996</v>
      </c>
      <c r="CA13" s="23">
        <v>362329.07737000001</v>
      </c>
      <c r="CB13" s="23">
        <v>293721.80776999996</v>
      </c>
      <c r="CC13" s="23">
        <v>283967.65664999996</v>
      </c>
      <c r="CD13" s="23">
        <v>282781.24624000001</v>
      </c>
      <c r="CE13" s="23">
        <v>312583.17958</v>
      </c>
      <c r="CF13" s="23">
        <v>353583.8898</v>
      </c>
      <c r="CG13" s="23">
        <v>294536.42588</v>
      </c>
      <c r="CH13" s="23">
        <v>344304.44151999999</v>
      </c>
      <c r="CI13" s="23">
        <v>352383.18219999998</v>
      </c>
      <c r="CJ13" s="23">
        <v>372522.13887999998</v>
      </c>
      <c r="CK13" s="23">
        <v>368372.60343999998</v>
      </c>
      <c r="CL13" s="23">
        <v>391822.76949999999</v>
      </c>
      <c r="CM13" s="23">
        <f>394474345.51/1000</f>
        <v>394474.34551000001</v>
      </c>
      <c r="CN13" s="23">
        <f>394431166.82/1000</f>
        <v>394431.16681999998</v>
      </c>
      <c r="CO13" s="23">
        <f>393859637.86/1000</f>
        <v>393859.63786000002</v>
      </c>
      <c r="CP13" s="23">
        <f>+VLOOKUP(B13,'[1]Est. Sit. FSDSFPS'!$A$5:$CL$21,90,0)/1000</f>
        <v>414052.88848000002</v>
      </c>
      <c r="CQ13" s="23">
        <f>438908953.85/1000</f>
        <v>438908.95385000005</v>
      </c>
      <c r="CR13" s="23">
        <f>442697495.19/1000</f>
        <v>442697.49518999999</v>
      </c>
      <c r="CS13" s="23">
        <f>442645220.55/1000</f>
        <v>442645.22055000003</v>
      </c>
      <c r="CT13" s="23">
        <v>437504.04417000001</v>
      </c>
      <c r="CU13" s="23">
        <f>459849342.11/1000</f>
        <v>459849.34211000003</v>
      </c>
      <c r="CV13" s="23">
        <v>460020.30956999998</v>
      </c>
      <c r="CW13" s="23">
        <v>424374.69319999998</v>
      </c>
      <c r="CX13" s="23">
        <v>411529.31379000004</v>
      </c>
      <c r="CY13" s="23">
        <v>461030.3897</v>
      </c>
      <c r="CZ13" s="23">
        <v>622945.29945000005</v>
      </c>
      <c r="DA13" s="23">
        <v>605040.48638000002</v>
      </c>
      <c r="DB13" s="23">
        <v>646480.24417999992</v>
      </c>
      <c r="DC13" s="23">
        <v>646491.22592</v>
      </c>
      <c r="DD13" s="23">
        <v>662495.49398000003</v>
      </c>
      <c r="DE13" s="23">
        <v>660481.22558000009</v>
      </c>
      <c r="DF13" s="23">
        <v>673282.80192</v>
      </c>
      <c r="DG13" s="23">
        <v>703628.76090999995</v>
      </c>
      <c r="DH13" s="23">
        <v>715133.04554999992</v>
      </c>
      <c r="DI13" s="23">
        <v>732110.74120000005</v>
      </c>
      <c r="DJ13" s="23">
        <v>734389.82094000001</v>
      </c>
      <c r="DK13" s="23">
        <v>751091.42953999992</v>
      </c>
      <c r="DL13" s="23">
        <v>762828.59412999998</v>
      </c>
      <c r="DM13" s="23">
        <v>779560.38477999996</v>
      </c>
      <c r="DN13" s="23">
        <v>794514.15850000002</v>
      </c>
      <c r="DO13" s="23">
        <v>809423.64312000002</v>
      </c>
      <c r="DP13" s="23">
        <v>809647.69903999998</v>
      </c>
      <c r="DQ13" s="23">
        <v>811809.14535999997</v>
      </c>
      <c r="DR13" s="23">
        <v>813216.83798000007</v>
      </c>
      <c r="DS13" s="23">
        <v>811679.26594000007</v>
      </c>
      <c r="DT13" s="23">
        <v>807862.55667999992</v>
      </c>
      <c r="DU13" s="23">
        <v>829241.19291999994</v>
      </c>
      <c r="DV13" s="23">
        <v>859230.31096999999</v>
      </c>
      <c r="DW13" s="23">
        <v>880141.38095999998</v>
      </c>
      <c r="DX13" s="23">
        <v>889004.76255999994</v>
      </c>
      <c r="DY13" s="23">
        <v>889004.76255999994</v>
      </c>
      <c r="DZ13" s="23">
        <v>944080.49635999999</v>
      </c>
      <c r="EA13" s="23">
        <v>975131.40729999996</v>
      </c>
      <c r="EB13" s="23">
        <v>977743.07736</v>
      </c>
      <c r="EC13" s="23">
        <v>932073.68509000004</v>
      </c>
      <c r="ED13" s="23">
        <v>934562.21239999996</v>
      </c>
      <c r="EE13" s="23">
        <v>935128.30914999999</v>
      </c>
      <c r="EF13" s="23">
        <v>907116.20305999997</v>
      </c>
      <c r="EG13" s="23">
        <v>908647.03414</v>
      </c>
      <c r="EH13" s="23">
        <v>889573.72911000007</v>
      </c>
      <c r="EI13" s="23">
        <v>881189.99219000002</v>
      </c>
      <c r="EJ13" s="23">
        <v>882390.66810000001</v>
      </c>
      <c r="EK13" s="23">
        <v>931922.99658000004</v>
      </c>
      <c r="EL13" s="23">
        <v>928220.92509999999</v>
      </c>
      <c r="EM13" s="23">
        <v>930706.38612000004</v>
      </c>
      <c r="EN13" s="23">
        <v>912809.96257000009</v>
      </c>
      <c r="EO13" s="23">
        <v>1033196.55914</v>
      </c>
      <c r="EP13" s="23">
        <v>1035420.8510800001</v>
      </c>
      <c r="EQ13" s="23">
        <v>1037438.90252</v>
      </c>
      <c r="ER13" s="23">
        <v>1013781.03106</v>
      </c>
      <c r="ES13" s="23">
        <v>713685.34805000003</v>
      </c>
      <c r="ET13" s="66"/>
    </row>
    <row r="14" spans="2:150" x14ac:dyDescent="0.3">
      <c r="B14" s="27" t="s">
        <v>25</v>
      </c>
      <c r="C14" s="29" t="s">
        <v>26</v>
      </c>
      <c r="D14" s="36"/>
      <c r="E14" s="36"/>
      <c r="F14" s="36"/>
      <c r="G14" s="36">
        <v>567.39330000000007</v>
      </c>
      <c r="H14" s="36">
        <v>628.21627999999998</v>
      </c>
      <c r="I14" s="36">
        <v>1299.77154</v>
      </c>
      <c r="J14" s="36">
        <v>1307.5617999999999</v>
      </c>
      <c r="K14" s="36">
        <v>1317.2107699999999</v>
      </c>
      <c r="L14" s="36">
        <v>1316.56315</v>
      </c>
      <c r="M14" s="36">
        <v>11598.235050000001</v>
      </c>
      <c r="N14" s="36">
        <v>12127.15842</v>
      </c>
      <c r="O14" s="36">
        <v>12324.26677</v>
      </c>
      <c r="P14" s="61">
        <v>12385.753550000001</v>
      </c>
      <c r="Q14" s="61">
        <v>17368.67164</v>
      </c>
      <c r="R14" s="61">
        <v>17553.73429</v>
      </c>
      <c r="S14" s="61">
        <v>17930.276469999997</v>
      </c>
      <c r="T14" s="61">
        <v>17981.440190000001</v>
      </c>
      <c r="U14" s="61">
        <v>18401.276289999998</v>
      </c>
      <c r="V14" s="61">
        <v>18395.523730000001</v>
      </c>
      <c r="W14" s="61">
        <v>18450.930700000001</v>
      </c>
      <c r="X14" s="61">
        <v>27124.515070000001</v>
      </c>
      <c r="Y14" s="61">
        <v>25894.133739999997</v>
      </c>
      <c r="Z14" s="61">
        <v>25959.467479999999</v>
      </c>
      <c r="AA14" s="61">
        <v>26016.528149999998</v>
      </c>
      <c r="AB14" s="61">
        <v>25939.13725</v>
      </c>
      <c r="AC14" s="61">
        <v>26053.079379999999</v>
      </c>
      <c r="AD14" s="23">
        <v>26044.109780000003</v>
      </c>
      <c r="AE14" s="23">
        <v>26140.259829999999</v>
      </c>
      <c r="AF14" s="23">
        <v>26346.269829999997</v>
      </c>
      <c r="AG14" s="23">
        <v>26268.427170000003</v>
      </c>
      <c r="AH14" s="23">
        <v>26348.786629999999</v>
      </c>
      <c r="AI14" s="23">
        <v>27040.38996</v>
      </c>
      <c r="AJ14" s="23">
        <v>27730.024550000002</v>
      </c>
      <c r="AK14" s="23">
        <v>555.56079</v>
      </c>
      <c r="AL14" s="23">
        <v>29752.296529999996</v>
      </c>
      <c r="AM14" s="23">
        <v>26068.12859</v>
      </c>
      <c r="AN14" s="23">
        <v>21580.678670000001</v>
      </c>
      <c r="AO14" s="23">
        <v>20316.82764</v>
      </c>
      <c r="AP14" s="23">
        <v>19609.68074</v>
      </c>
      <c r="AQ14" s="23">
        <v>19068.913820000002</v>
      </c>
      <c r="AR14" s="23">
        <v>18199.96055</v>
      </c>
      <c r="AS14" s="23">
        <v>20276.586210000001</v>
      </c>
      <c r="AT14" s="23">
        <v>17810.34463</v>
      </c>
      <c r="AU14" s="23">
        <v>16741.690689999999</v>
      </c>
      <c r="AV14" s="23">
        <v>15012.74589</v>
      </c>
      <c r="AW14" s="23">
        <v>14268.61118</v>
      </c>
      <c r="AX14" s="23">
        <v>15775.024869999999</v>
      </c>
      <c r="AY14" s="23">
        <v>17342.106680000001</v>
      </c>
      <c r="AZ14" s="23">
        <v>15854.84462</v>
      </c>
      <c r="BA14" s="23">
        <v>15091.90041</v>
      </c>
      <c r="BB14" s="23">
        <v>13164.41632</v>
      </c>
      <c r="BC14" s="23">
        <v>14528.770410000001</v>
      </c>
      <c r="BD14" s="23">
        <v>13810.539859999999</v>
      </c>
      <c r="BE14" s="23">
        <v>12513.90782</v>
      </c>
      <c r="BF14" s="23">
        <v>11606.30068</v>
      </c>
      <c r="BG14" s="23">
        <v>10851.48725</v>
      </c>
      <c r="BH14" s="23">
        <v>8941.9935299999997</v>
      </c>
      <c r="BI14" s="23">
        <v>7382.8310300000003</v>
      </c>
      <c r="BJ14" s="23">
        <v>6630.7567600000002</v>
      </c>
      <c r="BK14" s="23">
        <v>6471.9037900000003</v>
      </c>
      <c r="BL14" s="23">
        <v>6508.2702900000004</v>
      </c>
      <c r="BM14" s="23">
        <v>6441.7484999999997</v>
      </c>
      <c r="BN14" s="23">
        <v>4875.8253199999999</v>
      </c>
      <c r="BO14" s="23">
        <v>4637.6341900000007</v>
      </c>
      <c r="BP14" s="23">
        <v>4728.8399200000003</v>
      </c>
      <c r="BQ14" s="23">
        <v>4650.9835400000002</v>
      </c>
      <c r="BR14" s="23">
        <v>3876.7113599999998</v>
      </c>
      <c r="BS14" s="23">
        <v>2338.26091</v>
      </c>
      <c r="BT14" s="23">
        <v>2548.0685199999998</v>
      </c>
      <c r="BU14" s="23">
        <v>2700.7004500000003</v>
      </c>
      <c r="BV14" s="23">
        <v>2888.9755800000003</v>
      </c>
      <c r="BW14" s="23">
        <v>3210.3965600000001</v>
      </c>
      <c r="BX14" s="23">
        <v>6255.0532699999994</v>
      </c>
      <c r="BY14" s="23">
        <v>6413.4041699999998</v>
      </c>
      <c r="BZ14" s="23">
        <v>6557.7899800000005</v>
      </c>
      <c r="CA14" s="23">
        <v>6333.5557299999991</v>
      </c>
      <c r="CB14" s="23">
        <v>6646.2521400000005</v>
      </c>
      <c r="CC14" s="23">
        <v>6979.1459100000002</v>
      </c>
      <c r="CD14" s="23">
        <v>6675.7388700000001</v>
      </c>
      <c r="CE14" s="23">
        <v>7144.98513</v>
      </c>
      <c r="CF14" s="23">
        <v>6860.4237400000002</v>
      </c>
      <c r="CG14" s="23">
        <v>6839.8010000000004</v>
      </c>
      <c r="CH14" s="23">
        <v>7077.0662199999997</v>
      </c>
      <c r="CI14" s="23">
        <v>7493.1575599999996</v>
      </c>
      <c r="CJ14" s="23">
        <v>6124.4942300000002</v>
      </c>
      <c r="CK14" s="23">
        <v>5444.1197599999996</v>
      </c>
      <c r="CL14" s="23">
        <v>4812.5657899999997</v>
      </c>
      <c r="CM14" s="23">
        <f>3919221.65/1000</f>
        <v>3919.22165</v>
      </c>
      <c r="CN14" s="23">
        <f>4309316.03/1000</f>
        <v>4309.31603</v>
      </c>
      <c r="CO14" s="23">
        <f>5067313.23/1000</f>
        <v>5067.3132300000007</v>
      </c>
      <c r="CP14" s="23">
        <f>+VLOOKUP(B14,'[1]Est. Sit. FSDSFPS'!$A$5:$CL$21,90,0)/1000</f>
        <v>5066.1504500000001</v>
      </c>
      <c r="CQ14" s="23">
        <f>5470268.62/1000</f>
        <v>5470.2686199999998</v>
      </c>
      <c r="CR14" s="23">
        <f>5048468.67/1000</f>
        <v>5048.4686700000002</v>
      </c>
      <c r="CS14" s="23">
        <f>4941288.3/1000</f>
        <v>4941.2883000000002</v>
      </c>
      <c r="CT14" s="23">
        <v>5382.8687900000004</v>
      </c>
      <c r="CU14" s="23">
        <f>5979951.88/1000</f>
        <v>5979.9518799999996</v>
      </c>
      <c r="CV14" s="23">
        <v>4307.0330599999998</v>
      </c>
      <c r="CW14" s="23">
        <v>4271.0448699999997</v>
      </c>
      <c r="CX14" s="23">
        <v>5067.4515799999999</v>
      </c>
      <c r="CY14" s="23">
        <v>2434.9377400000003</v>
      </c>
      <c r="CZ14" s="23">
        <v>3240.9194900000002</v>
      </c>
      <c r="DA14" s="23">
        <v>3753.5928399999998</v>
      </c>
      <c r="DB14" s="23">
        <v>5937.1425799999997</v>
      </c>
      <c r="DC14" s="23">
        <v>5951.9836299999997</v>
      </c>
      <c r="DD14" s="23">
        <v>6566.5928300000005</v>
      </c>
      <c r="DE14" s="23">
        <v>6332.2781199999999</v>
      </c>
      <c r="DF14" s="23">
        <v>5233.1686900000004</v>
      </c>
      <c r="DG14" s="23">
        <v>5672.9747300000008</v>
      </c>
      <c r="DH14" s="23">
        <v>3918.4804999999997</v>
      </c>
      <c r="DI14" s="23">
        <v>6404.5902000000006</v>
      </c>
      <c r="DJ14" s="23">
        <v>7449.4591</v>
      </c>
      <c r="DK14" s="23">
        <v>8259.0138600000009</v>
      </c>
      <c r="DL14" s="23">
        <v>7333.0462400000006</v>
      </c>
      <c r="DM14" s="23">
        <v>8524.80357</v>
      </c>
      <c r="DN14" s="23">
        <v>9081.2496499999997</v>
      </c>
      <c r="DO14" s="23">
        <v>10326.6985</v>
      </c>
      <c r="DP14" s="23">
        <v>18182.499079999998</v>
      </c>
      <c r="DQ14" s="23">
        <v>22402.85383</v>
      </c>
      <c r="DR14" s="23">
        <v>20974.51456</v>
      </c>
      <c r="DS14" s="23">
        <v>24200.062289999998</v>
      </c>
      <c r="DT14" s="23">
        <v>18933.26413</v>
      </c>
      <c r="DU14" s="23">
        <v>19307.455579999998</v>
      </c>
      <c r="DV14" s="23">
        <v>16152.27224</v>
      </c>
      <c r="DW14" s="23">
        <v>15082.434630000002</v>
      </c>
      <c r="DX14" s="23">
        <v>15254.768619999999</v>
      </c>
      <c r="DY14" s="23">
        <v>15254.768619999999</v>
      </c>
      <c r="DZ14" s="23">
        <v>15595.388050000001</v>
      </c>
      <c r="EA14" s="23">
        <v>16575.154760000001</v>
      </c>
      <c r="EB14" s="23">
        <v>12514.230529999999</v>
      </c>
      <c r="EC14" s="23">
        <v>11777.50736</v>
      </c>
      <c r="ED14" s="23">
        <v>12911.271990000001</v>
      </c>
      <c r="EE14" s="23">
        <v>90330.409790000005</v>
      </c>
      <c r="EF14" s="23">
        <v>67625.588199999998</v>
      </c>
      <c r="EG14" s="23">
        <v>56075.169200000004</v>
      </c>
      <c r="EH14" s="23">
        <v>122499.8627</v>
      </c>
      <c r="EI14" s="23">
        <v>97002.581980000003</v>
      </c>
      <c r="EJ14" s="23">
        <v>77230.090970000005</v>
      </c>
      <c r="EK14" s="23">
        <v>74632.220360000007</v>
      </c>
      <c r="EL14" s="23">
        <v>72449.556099999987</v>
      </c>
      <c r="EM14" s="23">
        <v>183764.75633</v>
      </c>
      <c r="EN14" s="23">
        <v>191321.85069999998</v>
      </c>
      <c r="EO14" s="23">
        <v>130853.87199</v>
      </c>
      <c r="EP14" s="23">
        <v>118593.9276</v>
      </c>
      <c r="EQ14" s="23">
        <v>116256.20554000001</v>
      </c>
      <c r="ER14" s="23">
        <v>109082.95613999999</v>
      </c>
      <c r="ES14" s="23">
        <v>102722.34310000001</v>
      </c>
      <c r="ET14" s="66"/>
    </row>
    <row r="15" spans="2:150" x14ac:dyDescent="0.3">
      <c r="B15" s="27">
        <v>4</v>
      </c>
      <c r="C15" s="29" t="s">
        <v>55</v>
      </c>
      <c r="D15" s="36"/>
      <c r="E15" s="36"/>
      <c r="F15" s="36"/>
      <c r="G15" s="36"/>
      <c r="H15" s="36"/>
      <c r="I15" s="36"/>
      <c r="J15" s="36"/>
      <c r="K15" s="36"/>
      <c r="L15" s="36"/>
      <c r="M15" s="36"/>
      <c r="N15" s="36"/>
      <c r="O15" s="36"/>
      <c r="P15" s="61"/>
      <c r="Q15" s="61"/>
      <c r="R15" s="61"/>
      <c r="S15" s="61"/>
      <c r="T15" s="61"/>
      <c r="U15" s="61"/>
      <c r="V15" s="61"/>
      <c r="W15" s="61"/>
      <c r="X15" s="61"/>
      <c r="Y15" s="61"/>
      <c r="Z15" s="61"/>
      <c r="AA15" s="61"/>
      <c r="AB15" s="61"/>
      <c r="AC15" s="61"/>
      <c r="AD15" s="23"/>
      <c r="AE15" s="23"/>
      <c r="AF15" s="23"/>
      <c r="AG15" s="23"/>
      <c r="AH15" s="23"/>
      <c r="AI15" s="23"/>
      <c r="AJ15" s="23">
        <v>39.698509999999999</v>
      </c>
      <c r="AK15" s="23">
        <v>64.360010000000003</v>
      </c>
      <c r="AL15" s="23">
        <v>87.67446000000001</v>
      </c>
      <c r="AM15" s="23">
        <v>4278.23704</v>
      </c>
      <c r="AN15" s="23">
        <v>4127.1987200000003</v>
      </c>
      <c r="AO15" s="23">
        <v>5937.63681</v>
      </c>
      <c r="AP15" s="23">
        <v>7811.62039</v>
      </c>
      <c r="AQ15" s="23">
        <v>9529.2062899999983</v>
      </c>
      <c r="AR15" s="23">
        <v>11410.51649</v>
      </c>
      <c r="AS15" s="23">
        <v>13588.449470000001</v>
      </c>
      <c r="AT15" s="23">
        <v>15650.01893</v>
      </c>
      <c r="AU15" s="23">
        <v>17790.29248</v>
      </c>
      <c r="AV15" s="23">
        <v>18961.852480000001</v>
      </c>
      <c r="AW15" s="23">
        <v>20137.92337</v>
      </c>
      <c r="AX15" s="23">
        <v>21433.7461</v>
      </c>
      <c r="AY15" s="23">
        <v>0</v>
      </c>
      <c r="AZ15" s="23">
        <v>1437.0826399999999</v>
      </c>
      <c r="BA15" s="23">
        <v>2841.75855</v>
      </c>
      <c r="BB15" s="23">
        <v>4253.5074699999996</v>
      </c>
      <c r="BC15" s="23">
        <v>5667.7317899999998</v>
      </c>
      <c r="BD15" s="23">
        <v>7076.7218499999999</v>
      </c>
      <c r="BE15" s="23">
        <v>8474.5435399999988</v>
      </c>
      <c r="BF15" s="23">
        <v>9756.306779999999</v>
      </c>
      <c r="BG15" s="23">
        <v>11033.47234</v>
      </c>
      <c r="BH15" s="23">
        <v>12279.357049999999</v>
      </c>
      <c r="BI15" s="23">
        <v>13519.173469999998</v>
      </c>
      <c r="BJ15" s="23">
        <v>14774.261119999999</v>
      </c>
      <c r="BK15" s="23"/>
      <c r="BL15" s="23">
        <v>683.99734999999998</v>
      </c>
      <c r="BM15" s="23">
        <v>1354.0787399999999</v>
      </c>
      <c r="BN15" s="23">
        <v>2044.8483100000001</v>
      </c>
      <c r="BO15" s="23">
        <v>2711.9595600000002</v>
      </c>
      <c r="BP15" s="23">
        <v>3411.28406</v>
      </c>
      <c r="BQ15" s="23">
        <v>3901.7211999999995</v>
      </c>
      <c r="BR15" s="23">
        <v>4392.7564499999989</v>
      </c>
      <c r="BS15" s="23">
        <v>4699.5591699999995</v>
      </c>
      <c r="BT15" s="23">
        <v>4703.9409900000001</v>
      </c>
      <c r="BU15" s="23">
        <v>4921.2025100000001</v>
      </c>
      <c r="BV15" s="23">
        <v>5194.0924299999997</v>
      </c>
      <c r="BW15" s="23">
        <v>0</v>
      </c>
      <c r="BX15" s="23">
        <v>298.56882999999999</v>
      </c>
      <c r="BY15" s="23">
        <v>611.54336999999998</v>
      </c>
      <c r="BZ15" s="23">
        <v>925.32568000000003</v>
      </c>
      <c r="CA15" s="23">
        <v>1255.8620600000002</v>
      </c>
      <c r="CB15" s="23">
        <v>1635.1070099999999</v>
      </c>
      <c r="CC15" s="23">
        <v>1947.127</v>
      </c>
      <c r="CD15" s="23">
        <v>2264.9323899999999</v>
      </c>
      <c r="CE15" s="23">
        <v>2576.43561</v>
      </c>
      <c r="CF15" s="23">
        <v>2905.1918100000003</v>
      </c>
      <c r="CG15" s="23">
        <v>3210.1664700000001</v>
      </c>
      <c r="CH15" s="23">
        <v>3516.2721900000001</v>
      </c>
      <c r="CI15" s="23">
        <v>0</v>
      </c>
      <c r="CJ15" s="23">
        <v>322.93847999999997</v>
      </c>
      <c r="CK15" s="23">
        <v>688.46438000000001</v>
      </c>
      <c r="CL15" s="23">
        <v>1018.11883</v>
      </c>
      <c r="CM15" s="23">
        <f>1298506.34/1000</f>
        <v>1298.5063400000001</v>
      </c>
      <c r="CN15" s="23">
        <f>1594490.15/1000</f>
        <v>1594.4901499999999</v>
      </c>
      <c r="CO15" s="23">
        <f>1892974.2/1000</f>
        <v>1892.9741999999999</v>
      </c>
      <c r="CP15" s="23">
        <f>+VLOOKUP(B15,'[1]Est. Sit. FSDSFPS'!$A$5:$CL$21,90,0)/1000</f>
        <v>2174.5834100000002</v>
      </c>
      <c r="CQ15" s="23">
        <f>2462750.36/1000</f>
        <v>2462.75036</v>
      </c>
      <c r="CR15" s="23">
        <f>2745356.89/1000</f>
        <v>2745.35689</v>
      </c>
      <c r="CS15" s="23">
        <f>3030401.74/1000</f>
        <v>3030.4017400000002</v>
      </c>
      <c r="CT15" s="23">
        <v>3318.4121399999999</v>
      </c>
      <c r="CU15" s="22">
        <v>0</v>
      </c>
      <c r="CV15" s="23">
        <v>116.40177</v>
      </c>
      <c r="CW15" s="23">
        <v>225.11938000000001</v>
      </c>
      <c r="CX15" s="23">
        <v>644.10079000000007</v>
      </c>
      <c r="CY15" s="23">
        <v>741.01525000000004</v>
      </c>
      <c r="CZ15" s="23">
        <v>2106.5202100000001</v>
      </c>
      <c r="DA15" s="23">
        <v>2247.1965499999997</v>
      </c>
      <c r="DB15" s="23">
        <v>3125.6676299999999</v>
      </c>
      <c r="DC15" s="23">
        <v>3749.3579599999998</v>
      </c>
      <c r="DD15" s="23">
        <v>3968.91354</v>
      </c>
      <c r="DE15" s="23">
        <v>6325.0648799999999</v>
      </c>
      <c r="DF15" s="23">
        <v>6488.5337499999996</v>
      </c>
      <c r="DG15" s="22">
        <v>0</v>
      </c>
      <c r="DH15" s="22">
        <v>152.56733</v>
      </c>
      <c r="DI15" s="22">
        <v>379.72628000000003</v>
      </c>
      <c r="DJ15" s="22">
        <v>624.98437999999999</v>
      </c>
      <c r="DK15" s="22">
        <v>895.83451000000002</v>
      </c>
      <c r="DL15" s="22">
        <v>1163.374</v>
      </c>
      <c r="DM15" s="22">
        <v>1449.5461399999999</v>
      </c>
      <c r="DN15" s="22">
        <v>1721.14986</v>
      </c>
      <c r="DO15" s="22">
        <v>6832.4276799999998</v>
      </c>
      <c r="DP15" s="22">
        <v>8127.7705400000004</v>
      </c>
      <c r="DQ15" s="22">
        <v>8909.042019999999</v>
      </c>
      <c r="DR15" s="22">
        <v>10064.902119999999</v>
      </c>
      <c r="DS15" s="22">
        <v>0</v>
      </c>
      <c r="DT15" s="22">
        <v>930.00701000000004</v>
      </c>
      <c r="DU15" s="22">
        <v>2203.2033999999999</v>
      </c>
      <c r="DV15" s="22">
        <v>4797.8930700000001</v>
      </c>
      <c r="DW15" s="22">
        <v>7615.4900299999999</v>
      </c>
      <c r="DX15" s="22">
        <v>11488.54862</v>
      </c>
      <c r="DY15" s="22">
        <v>11488.54862</v>
      </c>
      <c r="DZ15" s="22">
        <v>11541.537560000001</v>
      </c>
      <c r="EA15" s="22">
        <v>12288.523660000001</v>
      </c>
      <c r="EB15" s="22">
        <v>13050.21429</v>
      </c>
      <c r="EC15" s="22">
        <v>13828.07367</v>
      </c>
      <c r="ED15" s="22">
        <v>15059.546679999999</v>
      </c>
      <c r="EE15" s="22">
        <v>0</v>
      </c>
      <c r="EF15" s="22">
        <v>2833.0145000000002</v>
      </c>
      <c r="EG15" s="22">
        <v>5416.0580199999995</v>
      </c>
      <c r="EH15" s="22">
        <v>9781.8470400000006</v>
      </c>
      <c r="EI15" s="22">
        <v>14122.05327</v>
      </c>
      <c r="EJ15" s="22">
        <v>18494.099320000001</v>
      </c>
      <c r="EK15" s="22">
        <v>22825.085510000001</v>
      </c>
      <c r="EL15" s="22">
        <v>27168.70824</v>
      </c>
      <c r="EM15" s="22">
        <v>34190.482539999997</v>
      </c>
      <c r="EN15" s="22">
        <v>42194.160929999998</v>
      </c>
      <c r="EO15" s="22">
        <v>49524.867079999996</v>
      </c>
      <c r="EP15" s="22">
        <v>56672.9084</v>
      </c>
      <c r="EQ15" s="22">
        <v>0</v>
      </c>
      <c r="ER15" s="22">
        <v>7123.8179800000007</v>
      </c>
      <c r="ES15" s="22">
        <v>14289.52211</v>
      </c>
      <c r="ET15" s="66"/>
    </row>
    <row r="16" spans="2:150" x14ac:dyDescent="0.3">
      <c r="B16" s="30">
        <v>8</v>
      </c>
      <c r="C16" s="31" t="s">
        <v>61</v>
      </c>
      <c r="D16" s="37"/>
      <c r="E16" s="37"/>
      <c r="F16" s="37"/>
      <c r="G16" s="37"/>
      <c r="H16" s="37"/>
      <c r="I16" s="37"/>
      <c r="J16" s="37"/>
      <c r="K16" s="37"/>
      <c r="L16" s="37"/>
      <c r="M16" s="37"/>
      <c r="N16" s="37"/>
      <c r="O16" s="37"/>
      <c r="P16" s="62"/>
      <c r="Q16" s="62"/>
      <c r="R16" s="62"/>
      <c r="S16" s="62"/>
      <c r="T16" s="62"/>
      <c r="U16" s="62"/>
      <c r="V16" s="62"/>
      <c r="W16" s="62"/>
      <c r="X16" s="62"/>
      <c r="Y16" s="62"/>
      <c r="Z16" s="62"/>
      <c r="AA16" s="62"/>
      <c r="AB16" s="62"/>
      <c r="AC16" s="62"/>
      <c r="AD16" s="38"/>
      <c r="AE16" s="38"/>
      <c r="AF16" s="38"/>
      <c r="AG16" s="38"/>
      <c r="AH16" s="38"/>
      <c r="AI16" s="38"/>
      <c r="AJ16" s="24">
        <f>+AJ11+AJ15</f>
        <v>205412.32767999999</v>
      </c>
      <c r="AK16" s="24">
        <v>182042.81221999999</v>
      </c>
      <c r="AL16" s="24">
        <v>214697.93706</v>
      </c>
      <c r="AM16" s="24">
        <v>219179.40200999999</v>
      </c>
      <c r="AN16" s="24">
        <v>218803.5477</v>
      </c>
      <c r="AO16" s="24">
        <v>223186.81998000003</v>
      </c>
      <c r="AP16" s="24">
        <v>267639.00368999998</v>
      </c>
      <c r="AQ16" s="24">
        <v>273616.06558999995</v>
      </c>
      <c r="AR16" s="24">
        <v>278044.48147000006</v>
      </c>
      <c r="AS16" s="24">
        <v>282631.50135999999</v>
      </c>
      <c r="AT16" s="24">
        <v>287787.87251000002</v>
      </c>
      <c r="AU16" s="24">
        <v>292698.57798</v>
      </c>
      <c r="AV16" s="24">
        <v>297534.70806999999</v>
      </c>
      <c r="AW16" s="24">
        <v>302340.45231999998</v>
      </c>
      <c r="AX16" s="24">
        <v>307958.69910000003</v>
      </c>
      <c r="AY16" s="24">
        <v>289778.85935000004</v>
      </c>
      <c r="AZ16" s="24">
        <v>294749.23392999999</v>
      </c>
      <c r="BA16" s="24">
        <v>295253.25417000009</v>
      </c>
      <c r="BB16" s="24">
        <v>305340.84259000001</v>
      </c>
      <c r="BC16" s="24">
        <v>311323.23579000006</v>
      </c>
      <c r="BD16" s="24">
        <v>316258.23069000005</v>
      </c>
      <c r="BE16" s="24">
        <v>321852.78222000005</v>
      </c>
      <c r="BF16" s="24">
        <v>327697.28863999998</v>
      </c>
      <c r="BG16" s="24">
        <v>333357.25896999997</v>
      </c>
      <c r="BH16" s="24">
        <v>339095.76925999997</v>
      </c>
      <c r="BI16" s="24">
        <v>344801.84062999999</v>
      </c>
      <c r="BJ16" s="24">
        <v>345667.06015999999</v>
      </c>
      <c r="BK16" s="24">
        <v>340992.91488000005</v>
      </c>
      <c r="BL16" s="24">
        <v>341876.89763000008</v>
      </c>
      <c r="BM16" s="24">
        <v>347846.23011</v>
      </c>
      <c r="BN16" s="24">
        <v>359258.08490999998</v>
      </c>
      <c r="BO16" s="24">
        <v>360020.62348000001</v>
      </c>
      <c r="BP16" s="24">
        <v>366310.66353000002</v>
      </c>
      <c r="BQ16" s="24">
        <v>372625.54471000005</v>
      </c>
      <c r="BR16" s="24">
        <v>381195.52000000008</v>
      </c>
      <c r="BS16" s="24">
        <v>387985.41721000004</v>
      </c>
      <c r="BT16" s="24">
        <v>395367.18088</v>
      </c>
      <c r="BU16" s="24">
        <v>401231.67413</v>
      </c>
      <c r="BV16" s="24">
        <v>408234.38263999997</v>
      </c>
      <c r="BW16" s="24">
        <v>415042.20556999999</v>
      </c>
      <c r="BX16" s="24">
        <v>415921.07489999989</v>
      </c>
      <c r="BY16" s="24">
        <v>424126.31342000002</v>
      </c>
      <c r="BZ16" s="24">
        <v>436677.99948</v>
      </c>
      <c r="CA16" s="24">
        <v>437978.06578</v>
      </c>
      <c r="CB16" s="24">
        <v>439113.49064999999</v>
      </c>
      <c r="CC16" s="24">
        <v>440015.58002000005</v>
      </c>
      <c r="CD16" s="24">
        <v>461000.66745000001</v>
      </c>
      <c r="CE16" s="24">
        <v>473614.22710000002</v>
      </c>
      <c r="CF16" s="24">
        <v>475321.90139000007</v>
      </c>
      <c r="CG16" s="24">
        <v>488166.70285</v>
      </c>
      <c r="CH16" s="24">
        <v>495741.03969000001</v>
      </c>
      <c r="CI16" s="24">
        <v>500502.36975999997</v>
      </c>
      <c r="CJ16" s="24">
        <v>501465.42926000006</v>
      </c>
      <c r="CK16" s="24">
        <v>502325.42161999998</v>
      </c>
      <c r="CL16" s="24">
        <v>503817.39092000003</v>
      </c>
      <c r="CM16" s="24">
        <f>527632064.51/1000</f>
        <v>527632.06450999994</v>
      </c>
      <c r="CN16" s="24">
        <f>537001235.29/1000</f>
        <v>537001.23528999998</v>
      </c>
      <c r="CO16" s="24">
        <f>551524650.28/1000</f>
        <v>551524.65027999994</v>
      </c>
      <c r="CP16" s="24" t="e">
        <f>+VLOOKUP(B16,'[1]Est. Sit. FSDSFPS'!$A$5:$CL$21,90,0)/1000</f>
        <v>#N/A</v>
      </c>
      <c r="CQ16" s="24">
        <f>572965389.24/1000</f>
        <v>572965.38924000005</v>
      </c>
      <c r="CR16" s="24">
        <f>582140328.38/1000</f>
        <v>582140.32837999996</v>
      </c>
      <c r="CS16" s="24">
        <f>583362827.03/1000</f>
        <v>583362.82702999993</v>
      </c>
      <c r="CT16" s="24">
        <v>600732.92222999991</v>
      </c>
      <c r="CU16" s="24">
        <f>607148364.74/1000</f>
        <v>607148.36473999999</v>
      </c>
      <c r="CV16" s="24">
        <v>614885.59535999992</v>
      </c>
      <c r="CW16" s="24">
        <v>625383.50647999998</v>
      </c>
      <c r="CX16" s="24">
        <v>637373.71083</v>
      </c>
      <c r="CY16" s="24">
        <v>647000.44091</v>
      </c>
      <c r="CZ16" s="24">
        <v>653549.25906000007</v>
      </c>
      <c r="DA16" s="24">
        <v>666087.42660999997</v>
      </c>
      <c r="DB16" s="24">
        <v>680833.48259999999</v>
      </c>
      <c r="DC16" s="24">
        <v>689963.27034000005</v>
      </c>
      <c r="DD16" s="24">
        <v>701845.18241000001</v>
      </c>
      <c r="DE16" s="24">
        <v>716423.43672</v>
      </c>
      <c r="DF16" s="24">
        <v>729164.39532000001</v>
      </c>
      <c r="DG16" s="24">
        <v>735103.72719000001</v>
      </c>
      <c r="DH16" s="24">
        <v>748235.34372</v>
      </c>
      <c r="DI16" s="24">
        <v>760909.74097000004</v>
      </c>
      <c r="DJ16" s="24">
        <v>778048.33371000004</v>
      </c>
      <c r="DK16" s="24">
        <v>792860.39182999998</v>
      </c>
      <c r="DL16" s="24">
        <v>807230.07001000002</v>
      </c>
      <c r="DM16" s="24">
        <v>821550.85274999996</v>
      </c>
      <c r="DN16" s="24">
        <v>835970.44481999998</v>
      </c>
      <c r="DO16" s="24">
        <v>851915.49705000001</v>
      </c>
      <c r="DP16" s="24">
        <v>870024.17894999997</v>
      </c>
      <c r="DQ16" s="24">
        <v>885205.84231000009</v>
      </c>
      <c r="DR16" s="24">
        <v>899674.42576999997</v>
      </c>
      <c r="DS16" s="24">
        <v>904050.57919000008</v>
      </c>
      <c r="DT16" s="24">
        <v>915581.83960999991</v>
      </c>
      <c r="DU16" s="24">
        <v>930329.06900000002</v>
      </c>
      <c r="DV16" s="24">
        <v>934104.52151000011</v>
      </c>
      <c r="DW16" s="24">
        <v>958190.05105000001</v>
      </c>
      <c r="DX16" s="24">
        <v>990731.79494999989</v>
      </c>
      <c r="DY16" s="24">
        <v>990731.79494999989</v>
      </c>
      <c r="DZ16" s="24">
        <v>1006628.0798499999</v>
      </c>
      <c r="EA16" s="24">
        <v>1023396.8163499999</v>
      </c>
      <c r="EB16" s="24">
        <v>1029474.11965</v>
      </c>
      <c r="EC16" s="24">
        <v>1056128.9278599999</v>
      </c>
      <c r="ED16" s="24">
        <v>1068660.8130099999</v>
      </c>
      <c r="EE16" s="24">
        <v>1112946.76134</v>
      </c>
      <c r="EF16" s="24">
        <v>1103314.48477</v>
      </c>
      <c r="EG16" s="24">
        <v>1108867.1595899998</v>
      </c>
      <c r="EH16" s="24">
        <v>1162105.2257699999</v>
      </c>
      <c r="EI16" s="24">
        <v>1158013.5514100001</v>
      </c>
      <c r="EJ16" s="24">
        <v>1160058.7821499999</v>
      </c>
      <c r="EK16" s="24">
        <v>1176720.6512500001</v>
      </c>
      <c r="EL16" s="24">
        <v>1195295.19854</v>
      </c>
      <c r="EM16" s="24">
        <v>1276708.7624199998</v>
      </c>
      <c r="EN16" s="24">
        <v>1292352.6243000003</v>
      </c>
      <c r="EO16" s="24">
        <v>1254571.5036999998</v>
      </c>
      <c r="EP16" s="24">
        <v>1266480.5989699999</v>
      </c>
      <c r="EQ16" s="24">
        <v>1222369.0138699999</v>
      </c>
      <c r="ER16" s="24">
        <v>1239135.97536</v>
      </c>
      <c r="ES16" s="24">
        <v>1256199.4617699997</v>
      </c>
      <c r="ET16" s="66"/>
    </row>
    <row r="17" spans="2:150" x14ac:dyDescent="0.3">
      <c r="B17" s="27"/>
      <c r="C17" s="28"/>
      <c r="D17" s="36"/>
      <c r="E17" s="36"/>
      <c r="F17" s="36"/>
      <c r="G17" s="36"/>
      <c r="H17" s="39"/>
      <c r="I17" s="36"/>
      <c r="J17" s="36"/>
      <c r="K17" s="39"/>
      <c r="L17" s="39"/>
      <c r="M17" s="36"/>
      <c r="N17" s="36"/>
      <c r="O17" s="36"/>
      <c r="P17" s="61"/>
      <c r="Q17" s="61"/>
      <c r="R17" s="61"/>
      <c r="S17" s="61"/>
      <c r="T17" s="61"/>
      <c r="U17" s="61"/>
      <c r="V17" s="61"/>
      <c r="W17" s="61"/>
      <c r="X17" s="61"/>
      <c r="Y17" s="61"/>
      <c r="Z17" s="61"/>
      <c r="AA17" s="61"/>
      <c r="AB17" s="61"/>
      <c r="AC17" s="61"/>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v>0</v>
      </c>
      <c r="BZ17" s="22"/>
      <c r="CA17" s="22">
        <v>0</v>
      </c>
      <c r="CB17" s="22"/>
      <c r="CC17" s="22"/>
      <c r="CD17" s="22"/>
      <c r="CE17" s="22">
        <v>0</v>
      </c>
      <c r="CF17" s="22"/>
      <c r="CG17" s="22"/>
      <c r="CH17" s="22"/>
      <c r="CI17" s="22"/>
      <c r="CJ17" s="22"/>
      <c r="CK17" s="22"/>
      <c r="CL17" s="22"/>
      <c r="CM17" s="22"/>
      <c r="CN17" s="22"/>
      <c r="CO17" s="22"/>
      <c r="CP17" s="22"/>
      <c r="CQ17" s="22"/>
      <c r="CR17" s="22"/>
      <c r="CS17" s="22"/>
      <c r="CT17" s="22"/>
      <c r="CV17" s="22"/>
      <c r="CW17" s="22"/>
      <c r="CX17" s="22"/>
      <c r="CY17" s="22"/>
      <c r="CZ17" s="22"/>
      <c r="DA17" s="22"/>
      <c r="DB17" s="22"/>
      <c r="DC17" s="22"/>
      <c r="DD17" s="22"/>
      <c r="DE17" s="22"/>
      <c r="DF17" s="22"/>
      <c r="DG17" s="22"/>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c r="EI17" s="22">
        <v>0</v>
      </c>
      <c r="EJ17" s="22">
        <v>0</v>
      </c>
      <c r="EK17" s="22">
        <v>0</v>
      </c>
      <c r="EL17" s="22">
        <v>0</v>
      </c>
      <c r="EM17" s="22">
        <v>0</v>
      </c>
      <c r="EN17" s="22">
        <v>0</v>
      </c>
      <c r="EO17" s="22">
        <v>0</v>
      </c>
      <c r="EP17" s="22">
        <v>0</v>
      </c>
      <c r="EQ17" s="22">
        <v>0</v>
      </c>
      <c r="ER17" s="22">
        <v>0</v>
      </c>
      <c r="ES17" s="22">
        <v>0</v>
      </c>
      <c r="ET17" s="66"/>
    </row>
    <row r="18" spans="2:150" x14ac:dyDescent="0.3">
      <c r="B18" s="27">
        <v>2</v>
      </c>
      <c r="C18" s="28" t="s">
        <v>27</v>
      </c>
      <c r="D18" s="35"/>
      <c r="E18" s="35"/>
      <c r="F18" s="35"/>
      <c r="G18" s="35">
        <v>0</v>
      </c>
      <c r="H18" s="35">
        <v>0</v>
      </c>
      <c r="I18" s="35">
        <v>0.17734</v>
      </c>
      <c r="J18" s="35">
        <v>7.8058399999999999</v>
      </c>
      <c r="K18" s="35">
        <v>0</v>
      </c>
      <c r="L18" s="35">
        <v>0</v>
      </c>
      <c r="M18" s="35">
        <v>0</v>
      </c>
      <c r="N18" s="35">
        <v>1.2</v>
      </c>
      <c r="O18" s="35">
        <v>7.6262400000000001</v>
      </c>
      <c r="P18" s="22">
        <v>3.84918</v>
      </c>
      <c r="Q18" s="22">
        <v>3.1257899999999998</v>
      </c>
      <c r="R18" s="22">
        <v>9.7696500000000004</v>
      </c>
      <c r="S18" s="22">
        <v>0.36660000000000004</v>
      </c>
      <c r="T18" s="22">
        <v>2.93255</v>
      </c>
      <c r="U18" s="22">
        <v>6.4201999999999995</v>
      </c>
      <c r="V18" s="22">
        <v>1.3790799999999999</v>
      </c>
      <c r="W18" s="22">
        <v>1.4987699999999999</v>
      </c>
      <c r="X18" s="22">
        <v>18.774709999999999</v>
      </c>
      <c r="Y18" s="22">
        <v>17.983040000000003</v>
      </c>
      <c r="Z18" s="22">
        <v>21.674160000000001</v>
      </c>
      <c r="AA18" s="22">
        <v>17.820580000000003</v>
      </c>
      <c r="AB18" s="22">
        <v>17.913160000000001</v>
      </c>
      <c r="AC18" s="22">
        <v>26.616139999999998</v>
      </c>
      <c r="AD18" s="22">
        <v>27.145879999999998</v>
      </c>
      <c r="AE18" s="22">
        <v>26.99166</v>
      </c>
      <c r="AF18" s="22">
        <v>28.119049999999998</v>
      </c>
      <c r="AG18" s="22">
        <v>11.293520000000001</v>
      </c>
      <c r="AH18" s="22">
        <v>12.64147</v>
      </c>
      <c r="AI18" s="22">
        <v>1131.8272400000001</v>
      </c>
      <c r="AJ18" s="22">
        <v>49.169429999999998</v>
      </c>
      <c r="AK18" s="22">
        <v>72.233699999999999</v>
      </c>
      <c r="AL18" s="22">
        <v>1488.2033700000002</v>
      </c>
      <c r="AM18" s="22">
        <v>1585.222</v>
      </c>
      <c r="AN18" s="22">
        <v>1517.9324799999999</v>
      </c>
      <c r="AO18" s="22">
        <v>1561.5328300000001</v>
      </c>
      <c r="AP18" s="22">
        <v>1723.1392499999999</v>
      </c>
      <c r="AQ18" s="22">
        <v>3092.5752499999999</v>
      </c>
      <c r="AR18" s="22">
        <v>3225.2891400000003</v>
      </c>
      <c r="AS18" s="22">
        <v>3126.4000899999996</v>
      </c>
      <c r="AT18" s="22">
        <v>3109.2584300000003</v>
      </c>
      <c r="AU18" s="22">
        <v>3259.16075</v>
      </c>
      <c r="AV18" s="22">
        <v>3247.3233</v>
      </c>
      <c r="AW18" s="22">
        <v>3245.8827200000001</v>
      </c>
      <c r="AX18" s="22">
        <v>3992.5230999999999</v>
      </c>
      <c r="AY18" s="22">
        <v>3631.96819</v>
      </c>
      <c r="AZ18" s="22">
        <v>3291.6977000000002</v>
      </c>
      <c r="BA18" s="22">
        <v>3360.2622900000001</v>
      </c>
      <c r="BB18" s="22">
        <v>3408.1468100000002</v>
      </c>
      <c r="BC18" s="22">
        <v>4036.7000400000002</v>
      </c>
      <c r="BD18" s="22">
        <v>3425.2840899999997</v>
      </c>
      <c r="BE18" s="22">
        <v>3923.6969199999999</v>
      </c>
      <c r="BF18" s="22">
        <v>3955.68768</v>
      </c>
      <c r="BG18" s="22">
        <v>3934.4691600000001</v>
      </c>
      <c r="BH18" s="22">
        <v>3935.6748199999997</v>
      </c>
      <c r="BI18" s="22">
        <v>3928.7081699999999</v>
      </c>
      <c r="BJ18" s="22">
        <v>3948.5630799999999</v>
      </c>
      <c r="BK18" s="22">
        <v>3892.0392200000001</v>
      </c>
      <c r="BL18" s="22">
        <v>3777.0614300000002</v>
      </c>
      <c r="BM18" s="22">
        <v>3785.1839399999999</v>
      </c>
      <c r="BN18" s="22">
        <v>3693.5340999999999</v>
      </c>
      <c r="BO18" s="22">
        <v>3699.54774</v>
      </c>
      <c r="BP18" s="22">
        <v>3700.7186200000001</v>
      </c>
      <c r="BQ18" s="22">
        <v>3700.4419900000003</v>
      </c>
      <c r="BR18" s="22">
        <v>5588.0924100000002</v>
      </c>
      <c r="BS18" s="22">
        <v>5723.1385999999993</v>
      </c>
      <c r="BT18" s="22">
        <v>4990.2311799999998</v>
      </c>
      <c r="BU18" s="22">
        <v>4029.0482200000001</v>
      </c>
      <c r="BV18" s="22">
        <v>4030.60151</v>
      </c>
      <c r="BW18" s="22">
        <v>3276.3531400000002</v>
      </c>
      <c r="BX18" s="22">
        <v>3249.5826299999999</v>
      </c>
      <c r="BY18" s="22">
        <v>4289.9660599999997</v>
      </c>
      <c r="BZ18" s="22">
        <v>3534.9886900000001</v>
      </c>
      <c r="CA18" s="22">
        <v>3533.4983399999996</v>
      </c>
      <c r="CB18" s="22">
        <v>3775.8538399999998</v>
      </c>
      <c r="CC18" s="22">
        <v>3857.9837799999996</v>
      </c>
      <c r="CD18" s="22">
        <v>4384.9396799999995</v>
      </c>
      <c r="CE18" s="22">
        <v>4694.0413099999996</v>
      </c>
      <c r="CF18" s="22">
        <v>4625.1019200000001</v>
      </c>
      <c r="CG18" s="22">
        <v>4600.5766700000004</v>
      </c>
      <c r="CH18" s="22">
        <v>3843.4642899999999</v>
      </c>
      <c r="CI18" s="22">
        <v>4255.88256</v>
      </c>
      <c r="CJ18" s="22">
        <v>4261.5324099999998</v>
      </c>
      <c r="CK18" s="22">
        <v>4215.9355300000007</v>
      </c>
      <c r="CL18" s="22">
        <v>4139.7677899999999</v>
      </c>
      <c r="CM18" s="22">
        <f>4441400.5/1000</f>
        <v>4441.4004999999997</v>
      </c>
      <c r="CN18" s="22">
        <f>4749474.52/1000</f>
        <v>4749.4745199999998</v>
      </c>
      <c r="CO18" s="22">
        <f>3847705.59/1000</f>
        <v>3847.70559</v>
      </c>
      <c r="CP18" s="22">
        <f>+VLOOKUP(B18,'[1]Est. Sit. FSDSFPS'!$A$5:$CL$21,90,0)/1000</f>
        <v>3840.3695600000001</v>
      </c>
      <c r="CQ18" s="22">
        <f>3850290.52/1000</f>
        <v>3850.29052</v>
      </c>
      <c r="CR18" s="22">
        <f>3853428.83/1000</f>
        <v>3853.4288300000003</v>
      </c>
      <c r="CS18" s="22">
        <f>3878416.84/1000</f>
        <v>3878.4168399999999</v>
      </c>
      <c r="CT18" s="22">
        <v>3194.05584</v>
      </c>
      <c r="CU18" s="22">
        <f>3331504.8/1000</f>
        <v>3331.5047999999997</v>
      </c>
      <c r="CV18" s="22">
        <v>3301.0373399999999</v>
      </c>
      <c r="CW18" s="22">
        <v>3300.21119</v>
      </c>
      <c r="CX18" s="22">
        <v>3311.4629799999998</v>
      </c>
      <c r="CY18" s="22">
        <v>3269.8392899999999</v>
      </c>
      <c r="CZ18" s="22">
        <v>3288.35565</v>
      </c>
      <c r="DA18" s="22">
        <v>3277.87653</v>
      </c>
      <c r="DB18" s="22">
        <v>4070.96765</v>
      </c>
      <c r="DC18" s="22">
        <v>3148.3736099999996</v>
      </c>
      <c r="DD18" s="22">
        <v>3036.2072000000003</v>
      </c>
      <c r="DE18" s="22">
        <v>3108.3828599999997</v>
      </c>
      <c r="DF18" s="22">
        <v>3009.9767299999999</v>
      </c>
      <c r="DG18" s="22">
        <v>2954.01901</v>
      </c>
      <c r="DH18" s="22">
        <v>2906.7892000000002</v>
      </c>
      <c r="DI18" s="22">
        <v>4144.366</v>
      </c>
      <c r="DJ18" s="22">
        <v>3790.9677499999998</v>
      </c>
      <c r="DK18" s="22">
        <v>3760.9870799999999</v>
      </c>
      <c r="DL18" s="22">
        <v>3315.8494700000001</v>
      </c>
      <c r="DM18" s="22">
        <v>2873.30141</v>
      </c>
      <c r="DN18" s="22">
        <v>2890.3014900000003</v>
      </c>
      <c r="DO18" s="22">
        <v>2901.4787299999998</v>
      </c>
      <c r="DP18" s="22">
        <v>6386.0285800000001</v>
      </c>
      <c r="DQ18" s="22">
        <v>6191.85257</v>
      </c>
      <c r="DR18" s="22">
        <v>5908.2390300000006</v>
      </c>
      <c r="DS18" s="22">
        <v>7094.8401699999995</v>
      </c>
      <c r="DT18" s="22">
        <v>3819.4477200000001</v>
      </c>
      <c r="DU18" s="22">
        <v>4731.3459899999998</v>
      </c>
      <c r="DV18" s="22">
        <v>3605.7817799999998</v>
      </c>
      <c r="DW18" s="22">
        <v>3452.6938599999999</v>
      </c>
      <c r="DX18" s="22">
        <v>3466.4965499999998</v>
      </c>
      <c r="DY18" s="22">
        <v>3466.4965499999998</v>
      </c>
      <c r="DZ18" s="22">
        <v>3590.8435199999999</v>
      </c>
      <c r="EA18" s="22">
        <v>3626.67076</v>
      </c>
      <c r="EB18" s="22">
        <v>3428.3039100000001</v>
      </c>
      <c r="EC18" s="22">
        <v>3406.5392400000001</v>
      </c>
      <c r="ED18" s="22">
        <v>3442.6850099999997</v>
      </c>
      <c r="EE18" s="22">
        <v>43682.179560000004</v>
      </c>
      <c r="EF18" s="22">
        <v>19861.864899999997</v>
      </c>
      <c r="EG18" s="22">
        <v>6184.1077400000004</v>
      </c>
      <c r="EH18" s="22">
        <v>42540.149949999999</v>
      </c>
      <c r="EI18" s="22">
        <v>21893.618190000001</v>
      </c>
      <c r="EJ18" s="22">
        <v>5084.7455599999994</v>
      </c>
      <c r="EK18" s="22">
        <v>4469.8144599999996</v>
      </c>
      <c r="EL18" s="22">
        <v>4377.7822200000001</v>
      </c>
      <c r="EM18" s="22">
        <v>68108.032390000008</v>
      </c>
      <c r="EN18" s="22">
        <v>66663.283309999999</v>
      </c>
      <c r="EO18" s="22">
        <v>11503.48199</v>
      </c>
      <c r="EP18" s="22">
        <v>5291.6184999999996</v>
      </c>
      <c r="EQ18" s="22">
        <v>6568.2637100000002</v>
      </c>
      <c r="ER18" s="22">
        <v>5878.8088200000002</v>
      </c>
      <c r="ES18" s="22">
        <v>5021.2859600000002</v>
      </c>
      <c r="ET18" s="66"/>
    </row>
    <row r="19" spans="2:150" x14ac:dyDescent="0.3">
      <c r="B19" s="27" t="s">
        <v>28</v>
      </c>
      <c r="C19" s="29" t="s">
        <v>32</v>
      </c>
      <c r="D19" s="40"/>
      <c r="E19" s="40"/>
      <c r="F19" s="40"/>
      <c r="G19" s="40">
        <v>0</v>
      </c>
      <c r="H19" s="40">
        <v>0</v>
      </c>
      <c r="I19" s="40">
        <v>0.17734</v>
      </c>
      <c r="J19" s="40">
        <v>7.8058399999999999</v>
      </c>
      <c r="K19" s="40">
        <v>0</v>
      </c>
      <c r="L19" s="40">
        <v>0</v>
      </c>
      <c r="M19" s="40">
        <v>0</v>
      </c>
      <c r="N19" s="40">
        <v>1.2</v>
      </c>
      <c r="O19" s="40">
        <v>7.6262400000000001</v>
      </c>
      <c r="P19" s="63">
        <v>3.84918</v>
      </c>
      <c r="Q19" s="63">
        <v>3.1257899999999998</v>
      </c>
      <c r="R19" s="63">
        <v>9.7696500000000004</v>
      </c>
      <c r="S19" s="63">
        <v>0.36660000000000004</v>
      </c>
      <c r="T19" s="63">
        <v>2.93255</v>
      </c>
      <c r="U19" s="63">
        <v>6.4201999999999995</v>
      </c>
      <c r="V19" s="63">
        <v>1.3790799999999999</v>
      </c>
      <c r="W19" s="63">
        <v>1.4987699999999999</v>
      </c>
      <c r="X19" s="63">
        <v>0.95465</v>
      </c>
      <c r="Y19" s="63">
        <v>0.16297999999999999</v>
      </c>
      <c r="Z19" s="63">
        <v>3.8540999999999999</v>
      </c>
      <c r="AA19" s="63">
        <v>5.2000000000000006E-4</v>
      </c>
      <c r="AB19" s="63">
        <v>9.3099999999999988E-2</v>
      </c>
      <c r="AC19" s="63">
        <v>8.7960799999999999</v>
      </c>
      <c r="AD19" s="23">
        <v>9.3103799999999985</v>
      </c>
      <c r="AE19" s="23">
        <v>9.1561599999999999</v>
      </c>
      <c r="AF19" s="23">
        <v>10.28355</v>
      </c>
      <c r="AG19" s="23">
        <v>11.293520000000001</v>
      </c>
      <c r="AH19" s="23">
        <v>12.64147</v>
      </c>
      <c r="AI19" s="23">
        <v>1131.8272400000001</v>
      </c>
      <c r="AJ19" s="23">
        <v>49.169429999999998</v>
      </c>
      <c r="AK19" s="23">
        <v>72.233699999999999</v>
      </c>
      <c r="AL19" s="23">
        <v>1488.2033700000002</v>
      </c>
      <c r="AM19" s="23">
        <v>1585.222</v>
      </c>
      <c r="AN19" s="23">
        <v>1517.9324799999999</v>
      </c>
      <c r="AO19" s="23">
        <v>1561.5328300000001</v>
      </c>
      <c r="AP19" s="23">
        <v>1723.1392499999999</v>
      </c>
      <c r="AQ19" s="23">
        <v>3092.5752499999999</v>
      </c>
      <c r="AR19" s="23">
        <v>3225.2891400000003</v>
      </c>
      <c r="AS19" s="23">
        <v>3126.4000899999996</v>
      </c>
      <c r="AT19" s="23">
        <v>3109.2584300000003</v>
      </c>
      <c r="AU19" s="23">
        <v>3259.16075</v>
      </c>
      <c r="AV19" s="23">
        <v>3247.3233</v>
      </c>
      <c r="AW19" s="23">
        <v>3245.8827200000001</v>
      </c>
      <c r="AX19" s="23">
        <v>3992.5230999999999</v>
      </c>
      <c r="AY19" s="23">
        <v>3631.96819</v>
      </c>
      <c r="AZ19" s="23">
        <v>3291.6977000000002</v>
      </c>
      <c r="BA19" s="23">
        <v>3360.2622900000001</v>
      </c>
      <c r="BB19" s="23">
        <v>3408.1468100000002</v>
      </c>
      <c r="BC19" s="23">
        <v>4036.7000400000002</v>
      </c>
      <c r="BD19" s="23">
        <v>3425.2840899999997</v>
      </c>
      <c r="BE19" s="23">
        <v>3923.6969199999999</v>
      </c>
      <c r="BF19" s="23">
        <v>3955.68768</v>
      </c>
      <c r="BG19" s="23">
        <v>3934.4691600000001</v>
      </c>
      <c r="BH19" s="23">
        <v>3935.6748199999997</v>
      </c>
      <c r="BI19" s="23">
        <v>3928.7081699999999</v>
      </c>
      <c r="BJ19" s="23">
        <v>3948.5630799999999</v>
      </c>
      <c r="BK19" s="23">
        <v>3892.0392200000001</v>
      </c>
      <c r="BL19" s="23">
        <v>3777.0614300000002</v>
      </c>
      <c r="BM19" s="23">
        <v>3785.1839399999999</v>
      </c>
      <c r="BN19" s="23">
        <v>3693.5340999999999</v>
      </c>
      <c r="BO19" s="23">
        <v>3699.54774</v>
      </c>
      <c r="BP19" s="23">
        <v>3700.7186200000001</v>
      </c>
      <c r="BQ19" s="23">
        <v>3700.4419900000003</v>
      </c>
      <c r="BR19" s="23">
        <v>5588.0924100000002</v>
      </c>
      <c r="BS19" s="23">
        <v>5723.1385999999993</v>
      </c>
      <c r="BT19" s="23">
        <v>4990.2311799999998</v>
      </c>
      <c r="BU19" s="23">
        <v>4029.0482200000001</v>
      </c>
      <c r="BV19" s="23">
        <v>4030.60151</v>
      </c>
      <c r="BW19" s="23">
        <v>3276.3531400000002</v>
      </c>
      <c r="BX19" s="23">
        <v>3249.5826299999999</v>
      </c>
      <c r="BY19" s="23">
        <v>4289.9660599999997</v>
      </c>
      <c r="BZ19" s="23">
        <v>3534.9886900000001</v>
      </c>
      <c r="CA19" s="23">
        <v>3533.4983399999996</v>
      </c>
      <c r="CB19" s="23">
        <v>3775.8538399999998</v>
      </c>
      <c r="CC19" s="23">
        <v>3857.9837799999996</v>
      </c>
      <c r="CD19" s="23">
        <v>4384.9396799999995</v>
      </c>
      <c r="CE19" s="23">
        <v>4694.0413099999996</v>
      </c>
      <c r="CF19" s="23">
        <v>4625.1019200000001</v>
      </c>
      <c r="CG19" s="23">
        <v>4600.5766700000004</v>
      </c>
      <c r="CH19" s="23">
        <v>3843.4642899999999</v>
      </c>
      <c r="CI19" s="23">
        <v>4255.88256</v>
      </c>
      <c r="CJ19" s="23">
        <v>4261.5324099999998</v>
      </c>
      <c r="CK19" s="23">
        <v>4215.9355300000007</v>
      </c>
      <c r="CL19" s="23">
        <v>4139.7677899999999</v>
      </c>
      <c r="CM19" s="23">
        <f>4441400.5/1000</f>
        <v>4441.4004999999997</v>
      </c>
      <c r="CN19" s="23">
        <f>4749474.52/1000</f>
        <v>4749.4745199999998</v>
      </c>
      <c r="CO19" s="23">
        <f>3847705.59/1000</f>
        <v>3847.70559</v>
      </c>
      <c r="CP19" s="23">
        <f>+VLOOKUP(B19,'[1]Est. Sit. FSDSFPS'!$A$5:$CL$21,90,0)/1000</f>
        <v>3840.3695600000001</v>
      </c>
      <c r="CQ19" s="23">
        <f>3850290.52/1000</f>
        <v>3850.29052</v>
      </c>
      <c r="CR19" s="23">
        <f>3853428.83/1000</f>
        <v>3853.4288300000003</v>
      </c>
      <c r="CS19" s="23">
        <f>3878416.84/1000</f>
        <v>3878.4168399999999</v>
      </c>
      <c r="CT19" s="23">
        <v>3194.05584</v>
      </c>
      <c r="CU19" s="22">
        <f>3331504.8/1000</f>
        <v>3331.5047999999997</v>
      </c>
      <c r="CV19" s="23">
        <v>3301.0373399999999</v>
      </c>
      <c r="CW19" s="23">
        <v>3300.21119</v>
      </c>
      <c r="CX19" s="23">
        <v>3311.4629799999998</v>
      </c>
      <c r="CY19" s="23">
        <v>3269.8392899999999</v>
      </c>
      <c r="CZ19" s="23">
        <v>3288.35565</v>
      </c>
      <c r="DA19" s="23">
        <v>3277.87653</v>
      </c>
      <c r="DB19" s="23">
        <v>4070.96765</v>
      </c>
      <c r="DC19" s="23">
        <v>3148.3736099999996</v>
      </c>
      <c r="DD19" s="23">
        <v>3036.2072000000003</v>
      </c>
      <c r="DE19" s="23">
        <v>3108.3828599999997</v>
      </c>
      <c r="DF19" s="23">
        <v>3009.9767299999999</v>
      </c>
      <c r="DG19" s="23">
        <v>2954.01901</v>
      </c>
      <c r="DH19" s="23">
        <v>2906.7892000000002</v>
      </c>
      <c r="DI19" s="23">
        <v>4144.366</v>
      </c>
      <c r="DJ19" s="23">
        <v>3790.9677499999998</v>
      </c>
      <c r="DK19" s="23">
        <v>3760.9870799999999</v>
      </c>
      <c r="DL19" s="23">
        <v>3315.8494700000001</v>
      </c>
      <c r="DM19" s="23">
        <v>2873.30141</v>
      </c>
      <c r="DN19" s="23">
        <v>2890.3014900000003</v>
      </c>
      <c r="DO19" s="23">
        <v>2901.4787299999998</v>
      </c>
      <c r="DP19" s="23">
        <v>6386.0285800000001</v>
      </c>
      <c r="DQ19" s="23">
        <v>6191.85257</v>
      </c>
      <c r="DR19" s="23">
        <v>5908.2390300000006</v>
      </c>
      <c r="DS19" s="23">
        <v>7094.8401699999995</v>
      </c>
      <c r="DT19" s="23">
        <v>3819.4477200000001</v>
      </c>
      <c r="DU19" s="23">
        <v>4731.3459899999998</v>
      </c>
      <c r="DV19" s="23">
        <v>3605.7817799999998</v>
      </c>
      <c r="DW19" s="23">
        <v>3452.6938599999999</v>
      </c>
      <c r="DX19" s="23">
        <v>3466.4965499999998</v>
      </c>
      <c r="DY19" s="23">
        <v>3466.4965499999998</v>
      </c>
      <c r="DZ19" s="23">
        <v>3590.8435199999999</v>
      </c>
      <c r="EA19" s="23">
        <v>3626.67076</v>
      </c>
      <c r="EB19" s="23">
        <v>3428.3039100000001</v>
      </c>
      <c r="EC19" s="23">
        <v>3406.5392400000001</v>
      </c>
      <c r="ED19" s="23">
        <v>3442.6850099999997</v>
      </c>
      <c r="EE19" s="23">
        <v>43682.179560000004</v>
      </c>
      <c r="EF19" s="23">
        <v>19861.864899999997</v>
      </c>
      <c r="EG19" s="23">
        <v>6184.1077400000004</v>
      </c>
      <c r="EH19" s="23">
        <v>42540.149950000006</v>
      </c>
      <c r="EI19" s="23">
        <v>21893.618190000001</v>
      </c>
      <c r="EJ19" s="23">
        <v>5084.7455599999994</v>
      </c>
      <c r="EK19" s="23">
        <v>4469.8144599999996</v>
      </c>
      <c r="EL19" s="23">
        <v>4377.7822200000001</v>
      </c>
      <c r="EM19" s="23">
        <v>68108.032390000008</v>
      </c>
      <c r="EN19" s="23">
        <v>66663.283309999999</v>
      </c>
      <c r="EO19" s="23">
        <v>11503.48199</v>
      </c>
      <c r="EP19" s="23">
        <v>5291.6184999999996</v>
      </c>
      <c r="EQ19" s="23">
        <v>6568.2637100000002</v>
      </c>
      <c r="ER19" s="23">
        <v>5878.8088200000002</v>
      </c>
      <c r="ES19" s="23">
        <v>5021.2859600000002</v>
      </c>
      <c r="ET19" s="66"/>
    </row>
    <row r="20" spans="2:150" x14ac:dyDescent="0.3">
      <c r="B20" s="27" t="s">
        <v>29</v>
      </c>
      <c r="C20" s="29" t="s">
        <v>30</v>
      </c>
      <c r="D20" s="40"/>
      <c r="E20" s="40"/>
      <c r="F20" s="40"/>
      <c r="G20" s="40">
        <v>0</v>
      </c>
      <c r="H20" s="40">
        <v>0</v>
      </c>
      <c r="I20" s="40">
        <v>0</v>
      </c>
      <c r="J20" s="40">
        <v>0</v>
      </c>
      <c r="K20" s="40">
        <v>0</v>
      </c>
      <c r="L20" s="40">
        <v>0</v>
      </c>
      <c r="M20" s="40">
        <v>0</v>
      </c>
      <c r="N20" s="41">
        <v>0</v>
      </c>
      <c r="O20" s="40">
        <v>0</v>
      </c>
      <c r="P20" s="63">
        <v>0</v>
      </c>
      <c r="Q20" s="63">
        <v>0</v>
      </c>
      <c r="R20" s="63">
        <v>0</v>
      </c>
      <c r="S20" s="63">
        <v>0</v>
      </c>
      <c r="T20" s="63">
        <v>0</v>
      </c>
      <c r="U20" s="63">
        <v>0</v>
      </c>
      <c r="V20" s="63">
        <v>0</v>
      </c>
      <c r="W20" s="63">
        <v>0</v>
      </c>
      <c r="X20" s="63">
        <v>17.820060000000002</v>
      </c>
      <c r="Y20" s="63">
        <v>17.820060000000002</v>
      </c>
      <c r="Z20" s="63">
        <v>17.820060000000002</v>
      </c>
      <c r="AA20" s="63">
        <v>17.820060000000002</v>
      </c>
      <c r="AB20" s="63">
        <v>17.820060000000002</v>
      </c>
      <c r="AC20" s="63">
        <v>17.820060000000002</v>
      </c>
      <c r="AD20" s="23">
        <v>17.8355</v>
      </c>
      <c r="AE20" s="23">
        <v>17.8355</v>
      </c>
      <c r="AF20" s="23">
        <v>17.8355</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3">
        <v>0</v>
      </c>
      <c r="CO20" s="23">
        <v>0</v>
      </c>
      <c r="CP20" s="22">
        <f>+VLOOKUP(B20,'[1]Est. Sit. FSDSFPS'!$A$5:$CL$21,90,0)/1000</f>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c r="EH20" s="22"/>
      <c r="EI20" s="22">
        <v>0</v>
      </c>
      <c r="EJ20" s="22">
        <v>0</v>
      </c>
      <c r="EK20" s="22">
        <v>0</v>
      </c>
      <c r="EL20" s="22">
        <v>0</v>
      </c>
      <c r="EM20" s="22">
        <v>0</v>
      </c>
      <c r="EN20" s="22">
        <v>0</v>
      </c>
      <c r="EO20" s="22">
        <v>0</v>
      </c>
      <c r="EP20" s="22">
        <v>0</v>
      </c>
      <c r="EQ20" s="22">
        <v>0</v>
      </c>
      <c r="ER20" s="22">
        <v>0</v>
      </c>
      <c r="ES20" s="22">
        <v>0</v>
      </c>
      <c r="ET20" s="66"/>
    </row>
    <row r="21" spans="2:150" x14ac:dyDescent="0.3">
      <c r="B21" s="27">
        <v>5</v>
      </c>
      <c r="C21" s="29" t="s">
        <v>56</v>
      </c>
      <c r="D21" s="40"/>
      <c r="E21" s="40"/>
      <c r="F21" s="40"/>
      <c r="G21" s="40"/>
      <c r="H21" s="40"/>
      <c r="I21" s="40"/>
      <c r="J21" s="40"/>
      <c r="K21" s="40"/>
      <c r="L21" s="40"/>
      <c r="M21" s="40"/>
      <c r="N21" s="41"/>
      <c r="O21" s="40"/>
      <c r="P21" s="63"/>
      <c r="Q21" s="63"/>
      <c r="R21" s="63"/>
      <c r="S21" s="63"/>
      <c r="T21" s="63"/>
      <c r="U21" s="63"/>
      <c r="V21" s="63"/>
      <c r="W21" s="63"/>
      <c r="X21" s="63"/>
      <c r="Y21" s="63"/>
      <c r="Z21" s="63"/>
      <c r="AA21" s="63"/>
      <c r="AB21" s="63"/>
      <c r="AC21" s="63"/>
      <c r="AD21" s="23"/>
      <c r="AE21" s="23"/>
      <c r="AF21" s="23"/>
      <c r="AG21" s="23"/>
      <c r="AH21" s="23"/>
      <c r="AI21" s="23"/>
      <c r="AJ21" s="23">
        <v>417.87905000000001</v>
      </c>
      <c r="AK21" s="23">
        <v>670.90152</v>
      </c>
      <c r="AL21" s="23">
        <v>911.03995999999995</v>
      </c>
      <c r="AM21" s="23">
        <v>767.07493999999997</v>
      </c>
      <c r="AN21" s="23">
        <v>255.53632000000002</v>
      </c>
      <c r="AO21" s="23">
        <v>519.50472000000002</v>
      </c>
      <c r="AP21" s="23">
        <v>934.16277000000002</v>
      </c>
      <c r="AQ21" s="23">
        <v>1375.51026</v>
      </c>
      <c r="AR21" s="23">
        <v>1831.1606299999999</v>
      </c>
      <c r="AS21" s="23">
        <v>2274.6641600000003</v>
      </c>
      <c r="AT21" s="23">
        <v>2720.7770699999996</v>
      </c>
      <c r="AU21" s="23">
        <v>3141.4008900000003</v>
      </c>
      <c r="AV21" s="23">
        <v>3571.0389500000001</v>
      </c>
      <c r="AW21" s="23">
        <v>4048.9977599999997</v>
      </c>
      <c r="AX21" s="23">
        <v>4517.2834299999995</v>
      </c>
      <c r="AY21" s="23">
        <v>0</v>
      </c>
      <c r="AZ21" s="23">
        <v>461.89706999999999</v>
      </c>
      <c r="BA21" s="23">
        <v>897.35271999999998</v>
      </c>
      <c r="BB21" s="23">
        <v>1352.24883</v>
      </c>
      <c r="BC21" s="23">
        <v>1793.5302099999999</v>
      </c>
      <c r="BD21" s="23">
        <v>2249.5070000000001</v>
      </c>
      <c r="BE21" s="23">
        <v>2729.0216099999998</v>
      </c>
      <c r="BF21" s="23">
        <v>3202.6990299999998</v>
      </c>
      <c r="BG21" s="23">
        <v>3725.3637200000003</v>
      </c>
      <c r="BH21" s="23">
        <v>4188.2555199999997</v>
      </c>
      <c r="BI21" s="23">
        <v>4665.9046600000001</v>
      </c>
      <c r="BJ21" s="23">
        <v>5159.2421299999996</v>
      </c>
      <c r="BK21" s="23"/>
      <c r="BL21" s="23">
        <v>537.90931</v>
      </c>
      <c r="BM21" s="23">
        <v>1121.1113300000002</v>
      </c>
      <c r="BN21" s="23">
        <v>1714.16445</v>
      </c>
      <c r="BO21" s="23">
        <v>2328.3182499999998</v>
      </c>
      <c r="BP21" s="23">
        <v>2966.3673599999997</v>
      </c>
      <c r="BQ21" s="23">
        <v>3602.4689100000001</v>
      </c>
      <c r="BR21" s="23">
        <v>4261.5509599999996</v>
      </c>
      <c r="BS21" s="23">
        <v>4918.6568399999996</v>
      </c>
      <c r="BT21" s="23">
        <v>7201.85916</v>
      </c>
      <c r="BU21" s="23">
        <v>7967.0337800000007</v>
      </c>
      <c r="BV21" s="23">
        <v>8594.7243699999999</v>
      </c>
      <c r="BW21" s="23">
        <v>0</v>
      </c>
      <c r="BX21" s="23">
        <v>725.33104000000003</v>
      </c>
      <c r="BY21" s="23">
        <v>1608.6776599999998</v>
      </c>
      <c r="BZ21" s="23">
        <v>2475.1559400000001</v>
      </c>
      <c r="CA21" s="23">
        <v>3419.9531100000004</v>
      </c>
      <c r="CB21" s="23">
        <v>4313.0224800000005</v>
      </c>
      <c r="CC21" s="23">
        <v>5132.9819100000004</v>
      </c>
      <c r="CD21" s="23">
        <v>5787.7685300000003</v>
      </c>
      <c r="CE21" s="23">
        <v>6642.9522200000001</v>
      </c>
      <c r="CF21" s="23">
        <v>7700.54846</v>
      </c>
      <c r="CG21" s="23">
        <v>8509.0429499999991</v>
      </c>
      <c r="CH21" s="23">
        <v>9353.4072899999992</v>
      </c>
      <c r="CI21" s="23">
        <v>0</v>
      </c>
      <c r="CJ21" s="23">
        <v>957.40965000000006</v>
      </c>
      <c r="CK21" s="23">
        <v>1862.9988899999998</v>
      </c>
      <c r="CL21" s="23">
        <v>2934.2992599999998</v>
      </c>
      <c r="CM21" s="23">
        <f>3940833.88/1000</f>
        <v>3940.8338799999997</v>
      </c>
      <c r="CN21" s="23">
        <f>4967515.85/1000</f>
        <v>4967.5158499999998</v>
      </c>
      <c r="CO21" s="23">
        <f>5973979.96/1000</f>
        <v>5973.9799599999997</v>
      </c>
      <c r="CP21" s="23">
        <f>+VLOOKUP(B21,'[1]Est. Sit. FSDSFPS'!$A$5:$CL$21,90,0)/1000</f>
        <v>7064.6535300000005</v>
      </c>
      <c r="CQ21" s="23">
        <f>9483594.55/1000</f>
        <v>9483.5945500000016</v>
      </c>
      <c r="CR21" s="23">
        <f>10570412.53/1000</f>
        <v>10570.41253</v>
      </c>
      <c r="CS21" s="23">
        <f>11692239.81/1000</f>
        <v>11692.239810000001</v>
      </c>
      <c r="CT21" s="23">
        <v>12781.40576</v>
      </c>
      <c r="CU21" s="22">
        <v>0</v>
      </c>
      <c r="CV21" s="23">
        <v>1141.8793999999998</v>
      </c>
      <c r="CW21" s="23">
        <v>2152.2037999999998</v>
      </c>
      <c r="CX21" s="23">
        <v>3205.2339300000003</v>
      </c>
      <c r="CY21" s="23">
        <v>4151.2712799999999</v>
      </c>
      <c r="CZ21" s="23">
        <v>5472.46065</v>
      </c>
      <c r="DA21" s="23">
        <v>6873.0000700000001</v>
      </c>
      <c r="DB21" s="23">
        <v>8358.2814899999994</v>
      </c>
      <c r="DC21" s="23">
        <v>10050.51497</v>
      </c>
      <c r="DD21" s="23">
        <v>11827.719550000002</v>
      </c>
      <c r="DE21" s="23">
        <f>13802431.07/1000</f>
        <v>13802.431070000001</v>
      </c>
      <c r="DF21" s="23">
        <v>16046.914640000001</v>
      </c>
      <c r="DG21" s="22">
        <v>0</v>
      </c>
      <c r="DH21" s="22">
        <v>3122.5228700000002</v>
      </c>
      <c r="DI21" s="22">
        <v>6386.3190800000002</v>
      </c>
      <c r="DJ21" s="22">
        <v>10707.143550000001</v>
      </c>
      <c r="DK21" s="22">
        <v>14842.638000000001</v>
      </c>
      <c r="DL21" s="22">
        <v>18814.676829999997</v>
      </c>
      <c r="DM21" s="22">
        <v>22615.924260000003</v>
      </c>
      <c r="DN21" s="22">
        <v>26575.980190000002</v>
      </c>
      <c r="DO21" s="22">
        <v>30088.804820000001</v>
      </c>
      <c r="DP21" s="22">
        <v>33657.636859999999</v>
      </c>
      <c r="DQ21" s="22">
        <v>37825.692409999996</v>
      </c>
      <c r="DR21" s="22">
        <v>41574.980389999997</v>
      </c>
      <c r="DS21" s="22">
        <v>0</v>
      </c>
      <c r="DT21" s="22">
        <v>3953.1886600000003</v>
      </c>
      <c r="DU21" s="22">
        <v>7403.7848600000007</v>
      </c>
      <c r="DV21" s="22">
        <v>10977.377420000001</v>
      </c>
      <c r="DW21" s="22">
        <v>14675.16778</v>
      </c>
      <c r="DX21" s="22">
        <v>22342.41603</v>
      </c>
      <c r="DY21" s="22">
        <v>22342.41603</v>
      </c>
      <c r="DZ21" s="22">
        <v>26040.22264</v>
      </c>
      <c r="EA21" s="22">
        <v>31092.240170000001</v>
      </c>
      <c r="EB21" s="22">
        <v>35755.373820000001</v>
      </c>
      <c r="EC21" s="22">
        <v>40979.5288</v>
      </c>
      <c r="ED21" s="22">
        <v>46309.523500000003</v>
      </c>
      <c r="EE21" s="22">
        <v>0</v>
      </c>
      <c r="EF21" s="22">
        <v>4927.1900599999999</v>
      </c>
      <c r="EG21" s="22">
        <v>9078.805339999999</v>
      </c>
      <c r="EH21" s="22">
        <v>13596.678250000001</v>
      </c>
      <c r="EI21" s="22">
        <v>17780.967410000001</v>
      </c>
      <c r="EJ21" s="22">
        <v>23256.209780000001</v>
      </c>
      <c r="EK21" s="22">
        <v>27733.847040000001</v>
      </c>
      <c r="EL21" s="22">
        <v>32438.323519999998</v>
      </c>
      <c r="EM21" s="22">
        <v>36601.775759999997</v>
      </c>
      <c r="EN21" s="22">
        <v>40517.146649999995</v>
      </c>
      <c r="EO21" s="22">
        <v>44603.603820000004</v>
      </c>
      <c r="EP21" s="22">
        <v>49061.4617</v>
      </c>
      <c r="EQ21" s="22">
        <v>0</v>
      </c>
      <c r="ER21" s="22">
        <v>4266.4652300000007</v>
      </c>
      <c r="ES21" s="22">
        <v>7945.7494799999995</v>
      </c>
      <c r="ET21" s="66"/>
    </row>
    <row r="22" spans="2:150" x14ac:dyDescent="0.3">
      <c r="B22" s="27"/>
      <c r="C22" s="28"/>
      <c r="D22" s="36"/>
      <c r="E22" s="36"/>
      <c r="F22" s="36"/>
      <c r="G22" s="36"/>
      <c r="H22" s="36"/>
      <c r="I22" s="36"/>
      <c r="J22" s="36"/>
      <c r="K22" s="36"/>
      <c r="L22" s="36"/>
      <c r="M22" s="36"/>
      <c r="N22" s="39"/>
      <c r="O22" s="36"/>
      <c r="P22" s="61"/>
      <c r="Q22" s="61"/>
      <c r="R22" s="61"/>
      <c r="S22" s="61"/>
      <c r="T22" s="61"/>
      <c r="U22" s="61"/>
      <c r="V22" s="61"/>
      <c r="W22" s="61"/>
      <c r="X22" s="61"/>
      <c r="Y22" s="61"/>
      <c r="Z22" s="61"/>
      <c r="AA22" s="61"/>
      <c r="AB22" s="61"/>
      <c r="AC22" s="61">
        <v>0</v>
      </c>
      <c r="AD22" s="22">
        <v>0</v>
      </c>
      <c r="AE22" s="22">
        <v>0</v>
      </c>
      <c r="AF22" s="22">
        <v>0</v>
      </c>
      <c r="AG22" s="22">
        <v>0</v>
      </c>
      <c r="AH22" s="22">
        <v>0</v>
      </c>
      <c r="AI22" s="22">
        <v>0</v>
      </c>
      <c r="AJ22" s="22">
        <v>0</v>
      </c>
      <c r="AK22" s="22">
        <v>0</v>
      </c>
      <c r="AL22" s="22">
        <v>0</v>
      </c>
      <c r="AM22" s="22">
        <v>0</v>
      </c>
      <c r="AN22" s="22">
        <v>0</v>
      </c>
      <c r="AO22" s="22"/>
      <c r="AP22" s="22"/>
      <c r="AQ22" s="22"/>
      <c r="AR22" s="22"/>
      <c r="AS22" s="22">
        <v>0</v>
      </c>
      <c r="AT22" s="22">
        <v>0</v>
      </c>
      <c r="AU22" s="22">
        <v>0</v>
      </c>
      <c r="AV22" s="22">
        <v>0</v>
      </c>
      <c r="AW22" s="22">
        <v>0</v>
      </c>
      <c r="AX22" s="22">
        <v>0</v>
      </c>
      <c r="AY22" s="22">
        <v>0</v>
      </c>
      <c r="AZ22" s="22">
        <v>0</v>
      </c>
      <c r="BA22" s="22">
        <v>0</v>
      </c>
      <c r="BB22" s="22"/>
      <c r="BC22" s="22"/>
      <c r="BD22" s="22"/>
      <c r="BE22" s="22"/>
      <c r="BF22" s="22"/>
      <c r="BG22" s="22"/>
      <c r="BH22" s="22"/>
      <c r="BI22" s="22"/>
      <c r="BJ22" s="22"/>
      <c r="BK22" s="22"/>
      <c r="BL22" s="22"/>
      <c r="BM22" s="22"/>
      <c r="BN22" s="22"/>
      <c r="BO22" s="22"/>
      <c r="BP22" s="22"/>
      <c r="BQ22" s="22"/>
      <c r="BR22" s="22">
        <v>0</v>
      </c>
      <c r="BS22" s="22">
        <v>0</v>
      </c>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3"/>
      <c r="CV22" s="22"/>
      <c r="CW22" s="22"/>
      <c r="CX22" s="22"/>
      <c r="CY22" s="22"/>
      <c r="CZ22" s="22"/>
      <c r="DA22" s="22"/>
      <c r="DB22" s="22"/>
      <c r="DC22" s="22"/>
      <c r="DD22" s="22"/>
      <c r="DE22" s="22"/>
      <c r="DF22" s="22"/>
      <c r="DG22" s="22"/>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c r="DZ22" s="22">
        <v>0</v>
      </c>
      <c r="EA22" s="22">
        <v>0</v>
      </c>
      <c r="EB22" s="22">
        <v>0</v>
      </c>
      <c r="EC22" s="22">
        <v>0</v>
      </c>
      <c r="ED22" s="22">
        <v>0</v>
      </c>
      <c r="EE22" s="22">
        <v>0</v>
      </c>
      <c r="EF22" s="22">
        <v>0</v>
      </c>
      <c r="EG22" s="22">
        <v>0</v>
      </c>
      <c r="EH22" s="22"/>
      <c r="EI22" s="22">
        <v>0</v>
      </c>
      <c r="EJ22" s="22">
        <v>0</v>
      </c>
      <c r="EK22" s="22">
        <v>0</v>
      </c>
      <c r="EL22" s="22">
        <v>0</v>
      </c>
      <c r="EM22" s="22">
        <v>0</v>
      </c>
      <c r="EN22" s="22">
        <v>0</v>
      </c>
      <c r="EO22" s="22">
        <v>0</v>
      </c>
      <c r="EP22" s="22">
        <v>0</v>
      </c>
      <c r="EQ22" s="22">
        <v>0</v>
      </c>
      <c r="ER22" s="22">
        <v>0</v>
      </c>
      <c r="ES22" s="22">
        <v>0</v>
      </c>
      <c r="ET22" s="66"/>
    </row>
    <row r="23" spans="2:150" x14ac:dyDescent="0.3">
      <c r="B23" s="27">
        <v>3</v>
      </c>
      <c r="C23" s="28" t="s">
        <v>77</v>
      </c>
      <c r="D23" s="35"/>
      <c r="E23" s="35"/>
      <c r="F23" s="35"/>
      <c r="G23" s="35">
        <v>75694.617239999992</v>
      </c>
      <c r="H23" s="35">
        <v>79723.219169999997</v>
      </c>
      <c r="I23" s="35">
        <v>79805.903569999995</v>
      </c>
      <c r="J23" s="35">
        <v>95602.29333</v>
      </c>
      <c r="K23" s="35">
        <v>95714.932620000007</v>
      </c>
      <c r="L23" s="35">
        <v>98472.872400000007</v>
      </c>
      <c r="M23" s="35">
        <v>103986.91131</v>
      </c>
      <c r="N23" s="35">
        <v>104010.87256999999</v>
      </c>
      <c r="O23" s="35">
        <v>106931.24959000001</v>
      </c>
      <c r="P23" s="22">
        <v>112456.00290000001</v>
      </c>
      <c r="Q23" s="22">
        <v>115576.09595999999</v>
      </c>
      <c r="R23" s="22">
        <v>118624.55781</v>
      </c>
      <c r="S23" s="22">
        <v>121572.40184999999</v>
      </c>
      <c r="T23" s="22">
        <v>124653.78395</v>
      </c>
      <c r="U23" s="22">
        <v>127626.36520999999</v>
      </c>
      <c r="V23" s="22">
        <v>130734.94763</v>
      </c>
      <c r="W23" s="22">
        <v>134051.74841</v>
      </c>
      <c r="X23" s="22">
        <v>137047.88303</v>
      </c>
      <c r="Y23" s="22">
        <v>140163.92546999999</v>
      </c>
      <c r="Z23" s="22">
        <v>143273.21662999998</v>
      </c>
      <c r="AA23" s="22">
        <v>146370.68049</v>
      </c>
      <c r="AB23" s="22">
        <v>149411.21291</v>
      </c>
      <c r="AC23" s="22">
        <v>152439.23981</v>
      </c>
      <c r="AD23" s="22">
        <v>155308.61216999998</v>
      </c>
      <c r="AE23" s="22">
        <v>158420.58283</v>
      </c>
      <c r="AF23" s="22">
        <v>161662.72086</v>
      </c>
      <c r="AG23" s="22">
        <v>164891.12612999999</v>
      </c>
      <c r="AH23" s="22">
        <v>168169.14012999999</v>
      </c>
      <c r="AI23" s="22">
        <v>200718.38571</v>
      </c>
      <c r="AJ23" s="22">
        <v>204945.27919999999</v>
      </c>
      <c r="AK23" s="22">
        <v>181299.677</v>
      </c>
      <c r="AL23" s="22">
        <v>212298.69373000003</v>
      </c>
      <c r="AM23" s="22">
        <v>216827.10506999999</v>
      </c>
      <c r="AN23" s="22">
        <v>217030.07889999999</v>
      </c>
      <c r="AO23" s="22">
        <v>221105.78243000002</v>
      </c>
      <c r="AP23" s="22">
        <v>264981.70167000004</v>
      </c>
      <c r="AQ23" s="22">
        <v>269147.98008000007</v>
      </c>
      <c r="AR23" s="22">
        <v>272988.03169999999</v>
      </c>
      <c r="AS23" s="22">
        <v>277230.43710999994</v>
      </c>
      <c r="AT23" s="22">
        <v>281957.83700999996</v>
      </c>
      <c r="AU23" s="22">
        <v>286298.01633999997</v>
      </c>
      <c r="AV23" s="22">
        <v>290716.34581999993</v>
      </c>
      <c r="AW23" s="22">
        <v>295045.57183999999</v>
      </c>
      <c r="AX23" s="22">
        <v>299448.89256999997</v>
      </c>
      <c r="AY23" s="22">
        <v>286146.89116</v>
      </c>
      <c r="AZ23" s="22">
        <v>290995.63916000002</v>
      </c>
      <c r="BA23" s="22">
        <v>290995.63916000002</v>
      </c>
      <c r="BB23" s="22">
        <v>300580.44695000007</v>
      </c>
      <c r="BC23" s="22">
        <v>305493.00554000004</v>
      </c>
      <c r="BD23" s="22">
        <v>310583.43960000004</v>
      </c>
      <c r="BE23" s="22">
        <v>315200.06368999998</v>
      </c>
      <c r="BF23" s="22">
        <v>320538.90192999999</v>
      </c>
      <c r="BG23" s="22">
        <v>325697.42609000002</v>
      </c>
      <c r="BH23" s="22">
        <v>330971.83892000001</v>
      </c>
      <c r="BI23" s="22">
        <v>336207.22779999999</v>
      </c>
      <c r="BJ23" s="22">
        <v>336559.25495000003</v>
      </c>
      <c r="BK23" s="22">
        <v>337100.87565999996</v>
      </c>
      <c r="BL23" s="22">
        <v>337561.92689</v>
      </c>
      <c r="BM23" s="22">
        <v>342939.93484</v>
      </c>
      <c r="BN23" s="22">
        <v>353850.38636</v>
      </c>
      <c r="BO23" s="22">
        <v>353992.75748999999</v>
      </c>
      <c r="BP23" s="22">
        <v>359643.57754999999</v>
      </c>
      <c r="BQ23" s="22">
        <v>365322.63381000003</v>
      </c>
      <c r="BR23" s="22">
        <v>371345.87663000001</v>
      </c>
      <c r="BS23" s="22">
        <v>371345.87663000001</v>
      </c>
      <c r="BT23" s="22">
        <v>383175.09054</v>
      </c>
      <c r="BU23" s="22">
        <v>389235.59213</v>
      </c>
      <c r="BV23" s="22">
        <v>395609.05676000001</v>
      </c>
      <c r="BW23" s="22">
        <v>411765.85243000003</v>
      </c>
      <c r="BX23" s="22">
        <v>411946.16123000003</v>
      </c>
      <c r="BY23" s="22">
        <v>418227.66969999997</v>
      </c>
      <c r="BZ23" s="22">
        <v>430667.85485</v>
      </c>
      <c r="CA23" s="22">
        <v>431024.61433000001</v>
      </c>
      <c r="CB23" s="22">
        <v>431024.61433000001</v>
      </c>
      <c r="CC23" s="22">
        <v>431024.61433000001</v>
      </c>
      <c r="CD23" s="22">
        <v>450827.95924</v>
      </c>
      <c r="CE23" s="22">
        <v>462277.23356999998</v>
      </c>
      <c r="CF23" s="22">
        <v>462996.25101000001</v>
      </c>
      <c r="CG23" s="22">
        <v>475057.08323000005</v>
      </c>
      <c r="CH23" s="22">
        <v>482544.16811000003</v>
      </c>
      <c r="CI23" s="22">
        <v>496246.48719999997</v>
      </c>
      <c r="CJ23" s="22">
        <v>496246.48719999997</v>
      </c>
      <c r="CK23" s="22">
        <v>496246.48719999997</v>
      </c>
      <c r="CL23" s="22">
        <v>496743.32387000002</v>
      </c>
      <c r="CM23" s="22">
        <f>519249830.13/1000</f>
        <v>519249.83013000002</v>
      </c>
      <c r="CN23" s="22">
        <f>527284244.92/1000</f>
        <v>527284.24491999997</v>
      </c>
      <c r="CO23" s="22">
        <f>541702964.73/1000</f>
        <v>541702.96473000001</v>
      </c>
      <c r="CP23" s="22">
        <f>+VLOOKUP(B23,'[1]Est. Sit. FSDSFPS'!$A$5:$CL$21,90,0)/1000</f>
        <v>543127.83048999996</v>
      </c>
      <c r="CQ23" s="22">
        <f>559631504.17/1000</f>
        <v>559631.50416999997</v>
      </c>
      <c r="CR23" s="22">
        <f>567716487.02/1000</f>
        <v>567716.48702</v>
      </c>
      <c r="CS23" s="22">
        <f>567792170.38/1000</f>
        <v>567792.17038000003</v>
      </c>
      <c r="CT23" s="22">
        <v>584757.46062999999</v>
      </c>
      <c r="CU23" s="22">
        <f>603816859.94/1000</f>
        <v>603816.85994000011</v>
      </c>
      <c r="CV23" s="22">
        <v>610442.67862000002</v>
      </c>
      <c r="CW23" s="22">
        <v>619931.09149000002</v>
      </c>
      <c r="CX23" s="22">
        <v>630857.01391999994</v>
      </c>
      <c r="CY23" s="22">
        <v>639579.33033999999</v>
      </c>
      <c r="CZ23" s="22">
        <v>644788.44276000001</v>
      </c>
      <c r="DA23" s="22">
        <v>655936.55001000001</v>
      </c>
      <c r="DB23" s="22">
        <v>668404.23346000002</v>
      </c>
      <c r="DC23" s="22">
        <v>676764.38176000002</v>
      </c>
      <c r="DD23" s="22">
        <v>686981.25566000002</v>
      </c>
      <c r="DE23" s="22">
        <v>699512.62278999994</v>
      </c>
      <c r="DF23" s="22">
        <v>710107.50395000004</v>
      </c>
      <c r="DG23" s="22">
        <v>732149.70817999996</v>
      </c>
      <c r="DH23" s="22">
        <v>742206.03165000002</v>
      </c>
      <c r="DI23" s="22">
        <v>750379.05588999996</v>
      </c>
      <c r="DJ23" s="22">
        <v>763550.22240999993</v>
      </c>
      <c r="DK23" s="22">
        <v>774256.76674999995</v>
      </c>
      <c r="DL23" s="22">
        <v>785099.54371</v>
      </c>
      <c r="DM23" s="22">
        <v>796061.62708000001</v>
      </c>
      <c r="DN23" s="22">
        <v>806504.16313999996</v>
      </c>
      <c r="DO23" s="22">
        <v>818925.21349999995</v>
      </c>
      <c r="DP23" s="22">
        <v>829980.51350999996</v>
      </c>
      <c r="DQ23" s="22">
        <v>841188.29733000009</v>
      </c>
      <c r="DR23" s="22">
        <v>852191.20634999999</v>
      </c>
      <c r="DS23" s="22">
        <v>896955.73901999998</v>
      </c>
      <c r="DT23" s="22">
        <v>907809.20322999998</v>
      </c>
      <c r="DU23" s="22">
        <v>918193.93814999994</v>
      </c>
      <c r="DV23" s="22">
        <v>919521.36231</v>
      </c>
      <c r="DW23" s="22">
        <v>940062.18940999999</v>
      </c>
      <c r="DX23" s="22">
        <f>953.30729535*1000</f>
        <v>953307.29535000003</v>
      </c>
      <c r="DY23" s="22">
        <v>964922.88237000001</v>
      </c>
      <c r="DZ23" s="22">
        <v>976997.01369000005</v>
      </c>
      <c r="EA23" s="22">
        <v>988677.90541999997</v>
      </c>
      <c r="EB23" s="22">
        <v>990290.44192000001</v>
      </c>
      <c r="EC23" s="22">
        <v>1011742.85982</v>
      </c>
      <c r="ED23" s="22">
        <v>1018908.6045</v>
      </c>
      <c r="EE23" s="22">
        <v>1069264.5817799999</v>
      </c>
      <c r="EF23" s="22">
        <v>1078525.4298099999</v>
      </c>
      <c r="EG23" s="22">
        <v>1093604.24651</v>
      </c>
      <c r="EH23" s="22">
        <v>1105968.39757</v>
      </c>
      <c r="EI23" s="22">
        <v>1118338.96581</v>
      </c>
      <c r="EJ23" s="22">
        <v>1131717.82681</v>
      </c>
      <c r="EK23" s="22">
        <v>1144516.9897499999</v>
      </c>
      <c r="EL23" s="22">
        <v>1158479.0928</v>
      </c>
      <c r="EM23" s="22">
        <v>1171998.9542699999</v>
      </c>
      <c r="EN23" s="22">
        <v>1185172.1943399999</v>
      </c>
      <c r="EO23" s="22">
        <v>1198464.4178900002</v>
      </c>
      <c r="EP23" s="22">
        <v>1212127.51877</v>
      </c>
      <c r="EQ23" s="22">
        <v>1215800.7501600001</v>
      </c>
      <c r="ER23" s="22">
        <v>1228990.7013099999</v>
      </c>
      <c r="ES23" s="22">
        <v>1243232.4263300002</v>
      </c>
      <c r="ET23" s="66"/>
    </row>
    <row r="24" spans="2:150" x14ac:dyDescent="0.3">
      <c r="B24" s="27"/>
      <c r="C24" s="28"/>
      <c r="D24" s="35"/>
      <c r="E24" s="35"/>
      <c r="F24" s="35"/>
      <c r="G24" s="35"/>
      <c r="H24" s="35"/>
      <c r="I24" s="35"/>
      <c r="J24" s="35"/>
      <c r="K24" s="35"/>
      <c r="L24" s="35"/>
      <c r="M24" s="35"/>
      <c r="N24" s="35"/>
      <c r="O24" s="35"/>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6"/>
      <c r="BY24" s="26"/>
      <c r="BZ24" s="26"/>
      <c r="CA24" s="26"/>
      <c r="CB24" s="26"/>
      <c r="CC24" s="26"/>
      <c r="CD24" s="26"/>
      <c r="CE24" s="26"/>
      <c r="CF24" s="26"/>
      <c r="CG24" s="26"/>
      <c r="CH24" s="26"/>
      <c r="CI24" s="26"/>
      <c r="CJ24" s="26"/>
      <c r="CK24" s="26"/>
      <c r="CL24" s="26"/>
      <c r="CM24" s="26"/>
      <c r="CN24" s="54"/>
      <c r="CO24" s="54"/>
      <c r="CP24" s="22"/>
      <c r="CQ24" s="22"/>
      <c r="CR24" s="22"/>
      <c r="CS24" s="22"/>
      <c r="CT24" s="22"/>
      <c r="CU24" s="22"/>
      <c r="CV24" s="22"/>
      <c r="CW24" s="22"/>
      <c r="CX24" s="22"/>
      <c r="CY24" s="22"/>
      <c r="CZ24" s="22"/>
      <c r="DA24" s="22"/>
      <c r="DB24" s="22"/>
      <c r="DC24" s="22"/>
      <c r="DD24" s="22"/>
      <c r="DE24" s="22"/>
      <c r="DF24" s="22"/>
      <c r="DG24" s="22"/>
      <c r="DH24" s="22">
        <v>0</v>
      </c>
      <c r="DI24" s="22">
        <v>0</v>
      </c>
      <c r="DJ24" s="22">
        <v>0</v>
      </c>
      <c r="DK24" s="22">
        <v>0</v>
      </c>
      <c r="DL24" s="22">
        <v>0</v>
      </c>
      <c r="DM24" s="22">
        <v>0</v>
      </c>
      <c r="DN24" s="22">
        <v>0</v>
      </c>
      <c r="DO24" s="22">
        <v>0</v>
      </c>
      <c r="DP24" s="22">
        <v>0</v>
      </c>
      <c r="DQ24" s="22">
        <v>0</v>
      </c>
      <c r="DR24" s="22">
        <v>0</v>
      </c>
      <c r="DS24" s="22">
        <v>0</v>
      </c>
      <c r="DT24" s="22">
        <v>0</v>
      </c>
      <c r="DU24" s="22">
        <v>0</v>
      </c>
      <c r="DV24" s="22">
        <v>0</v>
      </c>
      <c r="DW24" s="22">
        <v>0</v>
      </c>
      <c r="DX24" s="22">
        <v>0</v>
      </c>
      <c r="DY24" s="22">
        <v>0</v>
      </c>
      <c r="DZ24" s="22">
        <v>0</v>
      </c>
      <c r="EA24" s="22">
        <v>0</v>
      </c>
      <c r="EB24" s="22">
        <v>0</v>
      </c>
      <c r="EC24" s="22">
        <v>0</v>
      </c>
      <c r="ED24" s="22">
        <v>0</v>
      </c>
      <c r="EE24" s="22">
        <v>0</v>
      </c>
      <c r="EF24" s="22">
        <v>0</v>
      </c>
      <c r="EG24" s="22">
        <v>0</v>
      </c>
      <c r="EH24" s="22"/>
      <c r="EI24" s="22">
        <v>0</v>
      </c>
      <c r="EJ24" s="22">
        <v>0</v>
      </c>
      <c r="EK24" s="22">
        <v>0</v>
      </c>
      <c r="EL24" s="22">
        <v>0</v>
      </c>
      <c r="EM24" s="22">
        <v>0</v>
      </c>
      <c r="EN24" s="22">
        <v>0</v>
      </c>
      <c r="EO24" s="22">
        <v>0</v>
      </c>
      <c r="EP24" s="22">
        <v>0</v>
      </c>
      <c r="EQ24" s="22">
        <v>0</v>
      </c>
      <c r="ER24" s="22">
        <v>0</v>
      </c>
      <c r="ES24" s="22">
        <v>0</v>
      </c>
      <c r="ET24" s="66"/>
    </row>
    <row r="25" spans="2:150" x14ac:dyDescent="0.3">
      <c r="B25" s="30">
        <v>10</v>
      </c>
      <c r="C25" s="31" t="s">
        <v>62</v>
      </c>
      <c r="D25" s="37"/>
      <c r="E25" s="37"/>
      <c r="F25" s="37"/>
      <c r="G25" s="37"/>
      <c r="H25" s="37"/>
      <c r="I25" s="37"/>
      <c r="J25" s="37"/>
      <c r="K25" s="37"/>
      <c r="L25" s="37"/>
      <c r="M25" s="37"/>
      <c r="N25" s="37"/>
      <c r="O25" s="37"/>
      <c r="P25" s="62"/>
      <c r="Q25" s="62"/>
      <c r="R25" s="62"/>
      <c r="S25" s="62"/>
      <c r="T25" s="62"/>
      <c r="U25" s="62"/>
      <c r="V25" s="62"/>
      <c r="W25" s="62"/>
      <c r="X25" s="62"/>
      <c r="Y25" s="62"/>
      <c r="Z25" s="62"/>
      <c r="AA25" s="62"/>
      <c r="AB25" s="62"/>
      <c r="AC25" s="62"/>
      <c r="AD25" s="38"/>
      <c r="AE25" s="38"/>
      <c r="AF25" s="38"/>
      <c r="AG25" s="38"/>
      <c r="AH25" s="38"/>
      <c r="AI25" s="38"/>
      <c r="AJ25" s="24">
        <f>+AJ23+AJ21+AJ18</f>
        <v>205412.32767999999</v>
      </c>
      <c r="AK25" s="24">
        <f>+AK23+AK21+AK18</f>
        <v>182042.81222000002</v>
      </c>
      <c r="AL25" s="24">
        <f>+AL23+AL21+AL18</f>
        <v>214697.93706000003</v>
      </c>
      <c r="AM25" s="24">
        <f>+AM23+AM21+AM18</f>
        <v>219179.40200999999</v>
      </c>
      <c r="AN25" s="24">
        <f>+AN23+AN21+AN18</f>
        <v>218803.5477</v>
      </c>
      <c r="AO25" s="24">
        <v>223186.81998000003</v>
      </c>
      <c r="AP25" s="24">
        <v>267639.00368999998</v>
      </c>
      <c r="AQ25" s="24">
        <v>273616.06559000001</v>
      </c>
      <c r="AR25" s="24">
        <v>278044.48146999994</v>
      </c>
      <c r="AS25" s="24">
        <v>282631.50135999994</v>
      </c>
      <c r="AT25" s="24">
        <v>287787.87250999996</v>
      </c>
      <c r="AU25" s="24">
        <v>292698.57797999994</v>
      </c>
      <c r="AV25" s="24">
        <v>297534.70806999994</v>
      </c>
      <c r="AW25" s="24">
        <v>302340.45231999998</v>
      </c>
      <c r="AX25" s="24">
        <v>307958.69910000003</v>
      </c>
      <c r="AY25" s="24">
        <v>289778.85935000004</v>
      </c>
      <c r="AZ25" s="24">
        <v>294749.23392999999</v>
      </c>
      <c r="BA25" s="24">
        <v>295253.25417000009</v>
      </c>
      <c r="BB25" s="24">
        <v>305340.84259000001</v>
      </c>
      <c r="BC25" s="24">
        <v>311323.23579000001</v>
      </c>
      <c r="BD25" s="24">
        <v>316258.23069</v>
      </c>
      <c r="BE25" s="24">
        <v>321852.78222000005</v>
      </c>
      <c r="BF25" s="24">
        <v>327697.28863999998</v>
      </c>
      <c r="BG25" s="24">
        <v>333357.25897000008</v>
      </c>
      <c r="BH25" s="24">
        <v>339095.76925999997</v>
      </c>
      <c r="BI25" s="24">
        <v>344801.84063000005</v>
      </c>
      <c r="BJ25" s="24">
        <v>340507.81803000002</v>
      </c>
      <c r="BK25" s="24">
        <v>340992.91488</v>
      </c>
      <c r="BL25" s="24">
        <v>341876.89763000002</v>
      </c>
      <c r="BM25" s="24">
        <v>347846.23010999995</v>
      </c>
      <c r="BN25" s="24">
        <v>359258.08491000003</v>
      </c>
      <c r="BO25" s="24">
        <v>360020.62348000001</v>
      </c>
      <c r="BP25" s="24">
        <v>366310.66353000002</v>
      </c>
      <c r="BQ25" s="24">
        <v>372625.54471000005</v>
      </c>
      <c r="BR25" s="24">
        <v>381195.52000000002</v>
      </c>
      <c r="BS25" s="24">
        <v>381987.67206999997</v>
      </c>
      <c r="BT25" s="24">
        <v>395367.18088000006</v>
      </c>
      <c r="BU25" s="24">
        <v>401231.67413</v>
      </c>
      <c r="BV25" s="24">
        <v>408234.38263999997</v>
      </c>
      <c r="BW25" s="24">
        <v>415042.20556999999</v>
      </c>
      <c r="BX25" s="24">
        <v>415921.07490000001</v>
      </c>
      <c r="BY25" s="24">
        <v>424126.31342000002</v>
      </c>
      <c r="BZ25" s="24">
        <v>436677.99948</v>
      </c>
      <c r="CA25" s="24">
        <v>437978.06577999995</v>
      </c>
      <c r="CB25" s="24">
        <v>439113.49064999999</v>
      </c>
      <c r="CC25" s="24">
        <v>440015.58001999999</v>
      </c>
      <c r="CD25" s="24">
        <v>461000.66745000001</v>
      </c>
      <c r="CE25" s="24">
        <v>473614.22710000002</v>
      </c>
      <c r="CF25" s="24">
        <v>475321.90139000001</v>
      </c>
      <c r="CG25" s="24">
        <v>488166.70285</v>
      </c>
      <c r="CH25" s="24">
        <v>495741.03969000006</v>
      </c>
      <c r="CI25" s="24">
        <v>500502.36975999997</v>
      </c>
      <c r="CJ25" s="24">
        <v>501465.42926</v>
      </c>
      <c r="CK25" s="24">
        <v>502325.42161999992</v>
      </c>
      <c r="CL25" s="24">
        <v>503817.39092000003</v>
      </c>
      <c r="CM25" s="24">
        <f>527632064.51/1000</f>
        <v>527632.06450999994</v>
      </c>
      <c r="CN25" s="24">
        <f>537001235.29/1000</f>
        <v>537001.23528999998</v>
      </c>
      <c r="CO25" s="24">
        <f>551524650.28/1000</f>
        <v>551524.65027999994</v>
      </c>
      <c r="CP25" s="24" t="e">
        <f>+VLOOKUP(B25,'[1]Est. Sit. FSDSFPS'!$A$5:$CL$21,90,0)/1000</f>
        <v>#N/A</v>
      </c>
      <c r="CQ25" s="24">
        <f>572965389.24/1000</f>
        <v>572965.38924000005</v>
      </c>
      <c r="CR25" s="24">
        <f>582140328.38/1000</f>
        <v>582140.32837999996</v>
      </c>
      <c r="CS25" s="24">
        <f>583362827.03/1000</f>
        <v>583362.82702999993</v>
      </c>
      <c r="CT25" s="24">
        <v>600732.92223000003</v>
      </c>
      <c r="CU25" s="24">
        <f>607148364.74/1000</f>
        <v>607148.36473999999</v>
      </c>
      <c r="CV25" s="24">
        <v>614885.59536000004</v>
      </c>
      <c r="CW25" s="24">
        <v>625383.50647999998</v>
      </c>
      <c r="CX25" s="24">
        <v>637373.71082999988</v>
      </c>
      <c r="CY25" s="24">
        <v>647000.44091</v>
      </c>
      <c r="CZ25" s="24">
        <v>653549.25905999995</v>
      </c>
      <c r="DA25" s="24">
        <v>666087.42660999997</v>
      </c>
      <c r="DB25" s="24">
        <v>680833.48259999999</v>
      </c>
      <c r="DC25" s="24">
        <v>689963.27034000005</v>
      </c>
      <c r="DD25" s="24">
        <v>701845.18241000001</v>
      </c>
      <c r="DE25" s="24">
        <v>716423.43672</v>
      </c>
      <c r="DF25" s="24">
        <v>729164.39532000001</v>
      </c>
      <c r="DG25" s="24">
        <v>735103.72719000001</v>
      </c>
      <c r="DH25" s="24">
        <v>748235.34372</v>
      </c>
      <c r="DI25" s="24">
        <v>760909.74097000004</v>
      </c>
      <c r="DJ25" s="24">
        <v>778048.33370999992</v>
      </c>
      <c r="DK25" s="24">
        <v>792860.3918300001</v>
      </c>
      <c r="DL25" s="24">
        <v>807230.07001000014</v>
      </c>
      <c r="DM25" s="24">
        <v>821550.85274999996</v>
      </c>
      <c r="DN25" s="24">
        <v>835970.44482000009</v>
      </c>
      <c r="DO25" s="24">
        <v>851915.49705000012</v>
      </c>
      <c r="DP25" s="24">
        <v>870024.17895000009</v>
      </c>
      <c r="DQ25" s="24">
        <v>885205.84231000009</v>
      </c>
      <c r="DR25" s="24">
        <v>899674.42576999997</v>
      </c>
      <c r="DS25" s="24">
        <v>904050.57918999996</v>
      </c>
      <c r="DT25" s="24">
        <v>915581.83961000002</v>
      </c>
      <c r="DU25" s="24">
        <v>930329.06900000002</v>
      </c>
      <c r="DV25" s="24">
        <v>934104.52150999987</v>
      </c>
      <c r="DW25" s="24">
        <v>958190.05105000001</v>
      </c>
      <c r="DX25" s="24">
        <f>975.49020942*1000</f>
        <v>975490.20942000009</v>
      </c>
      <c r="DY25" s="24">
        <v>990731.79494999989</v>
      </c>
      <c r="DZ25" s="24">
        <v>1006628.07985</v>
      </c>
      <c r="EA25" s="24">
        <v>1023396.8163499999</v>
      </c>
      <c r="EB25" s="24">
        <v>1029474.11965</v>
      </c>
      <c r="EC25" s="24">
        <v>1056128.9278599999</v>
      </c>
      <c r="ED25" s="24">
        <v>1068660.8130099999</v>
      </c>
      <c r="EE25" s="24">
        <v>1112946.76134</v>
      </c>
      <c r="EF25" s="24">
        <v>1103314.48477</v>
      </c>
      <c r="EG25" s="24">
        <v>1108867.1595899998</v>
      </c>
      <c r="EH25" s="24">
        <v>1162105.2257700001</v>
      </c>
      <c r="EI25" s="24">
        <v>1158013.5514100001</v>
      </c>
      <c r="EJ25" s="24">
        <v>1160058.7821499999</v>
      </c>
      <c r="EK25" s="24">
        <v>1176720.6512500001</v>
      </c>
      <c r="EL25" s="24">
        <v>1195295.19854</v>
      </c>
      <c r="EM25" s="24">
        <v>1276708.76242</v>
      </c>
      <c r="EN25" s="24">
        <v>1292352.6243</v>
      </c>
      <c r="EO25" s="24">
        <v>1254571.5037</v>
      </c>
      <c r="EP25" s="24">
        <v>1266480.5989699999</v>
      </c>
      <c r="EQ25" s="24">
        <v>1222369.0138700001</v>
      </c>
      <c r="ER25" s="24">
        <v>1239135.9753599998</v>
      </c>
      <c r="ES25" s="24">
        <v>1256199.4617700002</v>
      </c>
      <c r="ET25" s="66"/>
    </row>
    <row r="26" spans="2:150" x14ac:dyDescent="0.3">
      <c r="B26" s="5"/>
      <c r="C26" s="1"/>
      <c r="D26" s="6"/>
      <c r="E26" s="6"/>
      <c r="F26" s="6"/>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8"/>
      <c r="AK26" s="18"/>
      <c r="AL26" s="18"/>
      <c r="AM26" s="18"/>
      <c r="AN26" s="1"/>
      <c r="AO26" s="1"/>
      <c r="AP26" s="1"/>
      <c r="AQ26" s="1"/>
      <c r="AR26" s="1"/>
      <c r="AS26" s="1"/>
      <c r="AT26" s="1"/>
      <c r="AU26" s="1"/>
      <c r="AV26" s="1"/>
      <c r="AW26" s="1"/>
      <c r="AX26" s="1"/>
      <c r="AY26" s="1"/>
      <c r="AZ26" s="1"/>
      <c r="BA26" s="1"/>
      <c r="BB26" s="1"/>
      <c r="BC26" s="1"/>
      <c r="BD26" s="1"/>
      <c r="BE26" s="1"/>
    </row>
    <row r="27" spans="2:150" x14ac:dyDescent="0.3">
      <c r="B27" s="64" t="s">
        <v>57</v>
      </c>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19"/>
      <c r="AK27" s="19"/>
      <c r="AL27" s="19"/>
      <c r="AM27" s="19"/>
      <c r="AN27" s="19"/>
      <c r="AO27" s="19"/>
      <c r="AP27" s="19"/>
      <c r="AQ27" s="19"/>
      <c r="AR27" s="19"/>
      <c r="AS27" s="19"/>
      <c r="AT27" s="19"/>
      <c r="AU27" s="19"/>
      <c r="AV27" s="19"/>
      <c r="AW27" s="19"/>
      <c r="AX27" s="19"/>
      <c r="AY27" s="19"/>
      <c r="AZ27" s="19"/>
      <c r="BA27" s="19"/>
      <c r="BB27" s="19"/>
      <c r="BC27" s="19"/>
      <c r="BD27" s="9"/>
      <c r="BE27" s="9"/>
    </row>
    <row r="28" spans="2:150" x14ac:dyDescent="0.3">
      <c r="B28" s="65" t="s">
        <v>60</v>
      </c>
      <c r="D28" s="1"/>
      <c r="E28" s="1"/>
      <c r="F28" s="1"/>
      <c r="G28" s="1"/>
      <c r="H28" s="1"/>
      <c r="I28" s="1"/>
      <c r="J28" s="1"/>
      <c r="K28" s="1"/>
      <c r="L28" s="1"/>
      <c r="M28" s="1"/>
      <c r="N28" s="1"/>
      <c r="O28" s="1"/>
      <c r="P28" s="8"/>
      <c r="Q28" s="8"/>
      <c r="R28" s="8"/>
      <c r="S28" s="8"/>
      <c r="T28" s="8"/>
      <c r="U28" s="8"/>
      <c r="V28" s="8"/>
      <c r="W28" s="8"/>
      <c r="X28" s="8"/>
      <c r="Y28" s="8"/>
      <c r="Z28" s="8"/>
      <c r="AA28" s="8"/>
      <c r="AB28" s="9"/>
      <c r="AC28" s="9"/>
      <c r="AD28" s="9"/>
      <c r="AE28" s="9"/>
      <c r="AF28" s="9"/>
      <c r="AG28" s="9"/>
      <c r="AH28" s="9"/>
      <c r="AI28" s="9"/>
      <c r="AJ28" s="9"/>
      <c r="AK28" s="9"/>
      <c r="AL28" s="47"/>
      <c r="AM28" s="47"/>
      <c r="AN28" s="47"/>
      <c r="AO28" s="47"/>
      <c r="AP28" s="47"/>
      <c r="AQ28" s="47"/>
      <c r="AR28" s="47"/>
      <c r="AS28" s="47"/>
      <c r="AT28" s="47"/>
      <c r="AU28" s="47"/>
      <c r="AV28" s="47"/>
      <c r="AW28" s="47"/>
      <c r="AX28" s="47"/>
      <c r="AY28" s="47"/>
      <c r="AZ28" s="47"/>
      <c r="BA28" s="47"/>
      <c r="BB28" s="47"/>
      <c r="BC28" s="9"/>
      <c r="BD28" s="9"/>
      <c r="BE28" s="9"/>
    </row>
    <row r="29" spans="2:150" x14ac:dyDescent="0.3">
      <c r="B29" s="57" t="s">
        <v>58</v>
      </c>
      <c r="D29" s="1"/>
      <c r="E29" s="1"/>
      <c r="F29" s="1"/>
      <c r="G29" s="1"/>
      <c r="H29" s="1"/>
      <c r="I29" s="1"/>
      <c r="J29" s="1"/>
      <c r="K29" s="1"/>
      <c r="L29" s="1"/>
      <c r="M29" s="1"/>
      <c r="N29" s="1"/>
      <c r="O29" s="1"/>
      <c r="P29" s="8"/>
      <c r="Q29" s="8"/>
      <c r="R29" s="8"/>
      <c r="S29" s="8"/>
      <c r="T29" s="8"/>
      <c r="U29" s="8"/>
      <c r="V29" s="8"/>
      <c r="W29" s="8"/>
      <c r="X29" s="8"/>
      <c r="Y29" s="8"/>
      <c r="Z29" s="8"/>
      <c r="AA29" s="8"/>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2:150" x14ac:dyDescent="0.3">
      <c r="B30" s="57" t="s">
        <v>63</v>
      </c>
      <c r="D30" s="1"/>
      <c r="E30" s="1"/>
      <c r="F30" s="1"/>
      <c r="G30" s="1"/>
      <c r="H30" s="1"/>
      <c r="I30" s="1"/>
      <c r="J30" s="1"/>
      <c r="K30" s="1"/>
      <c r="L30" s="1"/>
      <c r="M30" s="1"/>
      <c r="N30" s="1"/>
      <c r="O30" s="1"/>
      <c r="P30" s="8"/>
      <c r="Q30" s="8"/>
      <c r="R30" s="8"/>
      <c r="S30" s="8"/>
      <c r="T30" s="8"/>
      <c r="U30" s="8"/>
      <c r="V30" s="8"/>
      <c r="W30" s="8"/>
      <c r="X30" s="8"/>
      <c r="Y30" s="8"/>
      <c r="Z30" s="8"/>
      <c r="AA30" s="8"/>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2:150" x14ac:dyDescent="0.3">
      <c r="B31" s="57" t="s">
        <v>64</v>
      </c>
      <c r="D31" s="1"/>
      <c r="E31" s="1"/>
      <c r="F31" s="1"/>
      <c r="G31" s="1"/>
      <c r="H31" s="1"/>
      <c r="I31" s="1"/>
      <c r="J31" s="1"/>
      <c r="K31" s="1"/>
      <c r="L31" s="1"/>
      <c r="M31" s="1"/>
      <c r="N31" s="1"/>
      <c r="O31" s="1"/>
      <c r="P31" s="8"/>
      <c r="Q31" s="8"/>
      <c r="R31" s="8"/>
      <c r="S31" s="8"/>
      <c r="T31" s="8"/>
      <c r="U31" s="8"/>
      <c r="V31" s="8"/>
      <c r="W31" s="8"/>
      <c r="X31" s="8"/>
      <c r="Y31" s="8"/>
      <c r="Z31" s="8"/>
      <c r="AA31" s="8"/>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2:150" x14ac:dyDescent="0.3">
      <c r="B32" s="57" t="s">
        <v>75</v>
      </c>
      <c r="D32" s="1"/>
      <c r="E32" s="1"/>
      <c r="F32" s="1"/>
      <c r="G32" s="1"/>
      <c r="H32" s="1"/>
      <c r="I32" s="1"/>
      <c r="J32" s="1"/>
      <c r="K32" s="1"/>
      <c r="L32" s="1"/>
      <c r="M32" s="1"/>
      <c r="N32" s="1"/>
      <c r="O32" s="1"/>
      <c r="P32" s="8"/>
      <c r="Q32" s="8"/>
      <c r="R32" s="8"/>
      <c r="S32" s="8"/>
      <c r="T32" s="8"/>
      <c r="U32" s="8"/>
      <c r="V32" s="8"/>
      <c r="W32" s="8"/>
      <c r="X32" s="8"/>
      <c r="Y32" s="8"/>
      <c r="Z32" s="8"/>
      <c r="AA32" s="8"/>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2:110" x14ac:dyDescent="0.3">
      <c r="B33" s="57" t="s">
        <v>70</v>
      </c>
      <c r="D33" s="1"/>
      <c r="E33" s="1"/>
      <c r="F33" s="1"/>
      <c r="G33" s="1"/>
      <c r="H33" s="1"/>
      <c r="I33" s="1"/>
      <c r="J33" s="1"/>
      <c r="K33" s="1"/>
      <c r="L33" s="1"/>
      <c r="M33" s="1"/>
      <c r="N33" s="1"/>
      <c r="O33" s="1"/>
      <c r="P33" s="8"/>
      <c r="Q33" s="8"/>
      <c r="R33" s="8"/>
      <c r="S33" s="8"/>
      <c r="T33" s="8"/>
      <c r="U33" s="8"/>
      <c r="V33" s="8"/>
      <c r="W33" s="8"/>
      <c r="X33" s="8"/>
      <c r="Y33" s="8"/>
      <c r="Z33" s="8"/>
      <c r="AA33" s="8"/>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2:110" x14ac:dyDescent="0.3">
      <c r="B34" s="57" t="s">
        <v>71</v>
      </c>
      <c r="D34" s="1"/>
      <c r="E34" s="1"/>
      <c r="F34" s="1"/>
      <c r="G34" s="1"/>
      <c r="H34" s="1"/>
      <c r="I34" s="1"/>
      <c r="J34" s="1"/>
      <c r="K34" s="1"/>
      <c r="L34" s="1"/>
      <c r="M34" s="1"/>
      <c r="N34" s="1"/>
      <c r="O34" s="1"/>
      <c r="P34" s="8"/>
      <c r="Q34" s="8"/>
      <c r="R34" s="8"/>
      <c r="S34" s="8"/>
      <c r="T34" s="8"/>
      <c r="U34" s="8"/>
      <c r="V34" s="8"/>
      <c r="W34" s="8"/>
      <c r="X34" s="8"/>
      <c r="Y34" s="8"/>
      <c r="Z34" s="8"/>
      <c r="AA34" s="8"/>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2:110" ht="67.5" customHeight="1" x14ac:dyDescent="0.3">
      <c r="B35" s="68" t="s">
        <v>79</v>
      </c>
      <c r="C35" s="68"/>
      <c r="D35" s="68"/>
      <c r="E35" s="68"/>
      <c r="F35" s="68"/>
      <c r="G35" s="68"/>
      <c r="H35" s="68"/>
      <c r="I35" s="68"/>
      <c r="J35" s="68"/>
      <c r="K35" s="68"/>
      <c r="L35" s="68"/>
      <c r="M35" s="68"/>
      <c r="N35" s="68"/>
      <c r="O35" s="68"/>
      <c r="P35" s="68"/>
      <c r="Q35" s="8"/>
      <c r="R35" s="8"/>
      <c r="S35" s="8"/>
      <c r="T35" s="8"/>
      <c r="U35" s="8"/>
      <c r="V35" s="8"/>
      <c r="W35" s="8"/>
      <c r="X35" s="8"/>
      <c r="Y35" s="8"/>
      <c r="Z35" s="8"/>
      <c r="AA35" s="8"/>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2:110" ht="28.5" customHeight="1" x14ac:dyDescent="0.3">
      <c r="B36" s="68" t="s">
        <v>82</v>
      </c>
      <c r="C36" s="68"/>
      <c r="D36" s="68"/>
      <c r="E36" s="68"/>
      <c r="F36" s="68"/>
      <c r="G36" s="68"/>
      <c r="H36" s="68"/>
      <c r="I36" s="68"/>
      <c r="J36" s="68"/>
      <c r="K36" s="68"/>
      <c r="L36" s="68"/>
      <c r="M36" s="68"/>
      <c r="N36" s="68"/>
      <c r="O36" s="68"/>
      <c r="P36" s="68"/>
      <c r="Q36" s="8"/>
      <c r="R36" s="8"/>
      <c r="S36" s="8"/>
      <c r="T36" s="8"/>
      <c r="U36" s="8"/>
      <c r="V36" s="8"/>
      <c r="W36" s="8"/>
      <c r="X36" s="8"/>
      <c r="Y36" s="8"/>
      <c r="Z36" s="8"/>
      <c r="AA36" s="8"/>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2:110" x14ac:dyDescent="0.3">
      <c r="B37" s="57" t="s">
        <v>90</v>
      </c>
      <c r="D37" s="1"/>
      <c r="E37" s="1"/>
      <c r="F37" s="1"/>
      <c r="G37" s="1"/>
      <c r="H37" s="1"/>
      <c r="I37" s="1"/>
      <c r="J37" s="1"/>
      <c r="K37" s="1"/>
      <c r="L37" s="1"/>
      <c r="M37" s="1"/>
      <c r="N37" s="1"/>
      <c r="O37" s="1"/>
      <c r="P37" s="8"/>
      <c r="Q37" s="8"/>
      <c r="R37" s="8"/>
      <c r="S37" s="8"/>
      <c r="T37" s="8"/>
      <c r="U37" s="8"/>
      <c r="V37" s="8"/>
      <c r="W37" s="8"/>
      <c r="X37" s="8"/>
      <c r="Y37" s="8"/>
      <c r="Z37" s="8"/>
      <c r="AA37" s="8"/>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2:110" ht="28.5" customHeight="1" x14ac:dyDescent="0.3">
      <c r="B38" s="68" t="s">
        <v>96</v>
      </c>
      <c r="C38" s="68"/>
      <c r="D38" s="68"/>
      <c r="E38" s="68"/>
      <c r="F38" s="68"/>
      <c r="G38" s="68"/>
      <c r="H38" s="68"/>
      <c r="I38" s="68"/>
      <c r="J38" s="68"/>
      <c r="K38" s="68"/>
      <c r="L38" s="68"/>
      <c r="M38" s="68"/>
      <c r="N38" s="68"/>
      <c r="O38" s="68"/>
      <c r="P38" s="68"/>
      <c r="Q38" s="8"/>
      <c r="R38" s="8"/>
      <c r="S38" s="8"/>
      <c r="T38" s="8"/>
      <c r="U38" s="8"/>
      <c r="V38" s="8"/>
      <c r="W38" s="8"/>
      <c r="X38" s="8"/>
      <c r="Y38" s="8"/>
      <c r="Z38" s="8"/>
      <c r="AA38" s="8"/>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2:110" s="12" customFormat="1" ht="31.2" customHeight="1" x14ac:dyDescent="0.3">
      <c r="B39" s="68" t="s">
        <v>111</v>
      </c>
      <c r="C39" s="68"/>
      <c r="D39" s="68"/>
      <c r="E39" s="68"/>
      <c r="F39" s="68"/>
      <c r="G39" s="68"/>
      <c r="H39" s="68"/>
      <c r="I39" s="68"/>
      <c r="J39" s="68"/>
      <c r="K39" s="68"/>
      <c r="L39" s="68"/>
      <c r="M39" s="68"/>
      <c r="N39" s="68"/>
      <c r="O39" s="68"/>
      <c r="P39" s="68"/>
      <c r="Q39" s="13">
        <f t="shared" ref="Q39:AC39" si="0">+Q18-(Q19+Q20)</f>
        <v>0</v>
      </c>
      <c r="R39" s="13">
        <f t="shared" si="0"/>
        <v>0</v>
      </c>
      <c r="S39" s="13">
        <f t="shared" si="0"/>
        <v>0</v>
      </c>
      <c r="T39" s="13">
        <f t="shared" si="0"/>
        <v>0</v>
      </c>
      <c r="U39" s="13">
        <f t="shared" si="0"/>
        <v>0</v>
      </c>
      <c r="V39" s="13">
        <f t="shared" si="0"/>
        <v>0</v>
      </c>
      <c r="W39" s="13">
        <f t="shared" si="0"/>
        <v>0</v>
      </c>
      <c r="X39" s="13">
        <f t="shared" si="0"/>
        <v>0</v>
      </c>
      <c r="Y39" s="13">
        <f t="shared" si="0"/>
        <v>0</v>
      </c>
      <c r="Z39" s="13">
        <f t="shared" si="0"/>
        <v>0</v>
      </c>
      <c r="AA39" s="13">
        <f t="shared" si="0"/>
        <v>0</v>
      </c>
      <c r="AB39" s="13">
        <f t="shared" si="0"/>
        <v>0</v>
      </c>
      <c r="AC39" s="13">
        <f t="shared" si="0"/>
        <v>0</v>
      </c>
      <c r="AD39" s="13"/>
      <c r="AE39" s="13"/>
    </row>
    <row r="40" spans="2:110" s="12" customFormat="1" x14ac:dyDescent="0.3">
      <c r="B40" s="67" t="s">
        <v>117</v>
      </c>
      <c r="C40" s="67"/>
      <c r="D40" s="13">
        <f t="shared" ref="D40:AC40" si="1">+D11-(D12+D13+D14)</f>
        <v>0</v>
      </c>
      <c r="E40" s="13">
        <f t="shared" si="1"/>
        <v>0</v>
      </c>
      <c r="F40" s="13">
        <f t="shared" si="1"/>
        <v>0</v>
      </c>
      <c r="G40" s="13">
        <f t="shared" si="1"/>
        <v>0</v>
      </c>
      <c r="H40" s="13">
        <f t="shared" si="1"/>
        <v>0</v>
      </c>
      <c r="I40" s="13">
        <f t="shared" si="1"/>
        <v>0</v>
      </c>
      <c r="J40" s="13">
        <f t="shared" si="1"/>
        <v>0</v>
      </c>
      <c r="K40" s="13">
        <f t="shared" si="1"/>
        <v>0</v>
      </c>
      <c r="L40" s="13">
        <f t="shared" si="1"/>
        <v>0</v>
      </c>
      <c r="M40" s="13">
        <f t="shared" si="1"/>
        <v>0</v>
      </c>
      <c r="N40" s="13">
        <f t="shared" si="1"/>
        <v>0</v>
      </c>
      <c r="O40" s="13">
        <f t="shared" si="1"/>
        <v>0</v>
      </c>
      <c r="P40" s="13">
        <f t="shared" si="1"/>
        <v>0</v>
      </c>
      <c r="Q40" s="13">
        <f t="shared" si="1"/>
        <v>0</v>
      </c>
      <c r="R40" s="13">
        <f t="shared" si="1"/>
        <v>0</v>
      </c>
      <c r="S40" s="13">
        <f t="shared" si="1"/>
        <v>0</v>
      </c>
      <c r="T40" s="13">
        <f t="shared" si="1"/>
        <v>0</v>
      </c>
      <c r="U40" s="13">
        <f t="shared" si="1"/>
        <v>0</v>
      </c>
      <c r="V40" s="13">
        <f t="shared" si="1"/>
        <v>0</v>
      </c>
      <c r="W40" s="13">
        <f t="shared" si="1"/>
        <v>0</v>
      </c>
      <c r="X40" s="13">
        <f t="shared" si="1"/>
        <v>0</v>
      </c>
      <c r="Y40" s="13">
        <f t="shared" si="1"/>
        <v>0</v>
      </c>
      <c r="Z40" s="13">
        <f t="shared" si="1"/>
        <v>0</v>
      </c>
      <c r="AA40" s="13">
        <f t="shared" si="1"/>
        <v>0</v>
      </c>
      <c r="AB40" s="13">
        <f t="shared" si="1"/>
        <v>0</v>
      </c>
      <c r="AC40" s="13">
        <f t="shared" si="1"/>
        <v>0</v>
      </c>
      <c r="AD40" s="13"/>
      <c r="AE40" s="13"/>
    </row>
    <row r="41" spans="2:110" s="12" customFormat="1" x14ac:dyDescent="0.3">
      <c r="D41" s="13">
        <f t="shared" ref="D41:AC41" si="2">(D23+D18)-D11</f>
        <v>0</v>
      </c>
      <c r="E41" s="13">
        <f t="shared" si="2"/>
        <v>0</v>
      </c>
      <c r="F41" s="13">
        <f t="shared" si="2"/>
        <v>0</v>
      </c>
      <c r="G41" s="13">
        <f t="shared" si="2"/>
        <v>0</v>
      </c>
      <c r="H41" s="13">
        <f t="shared" si="2"/>
        <v>0</v>
      </c>
      <c r="I41" s="13">
        <f t="shared" si="2"/>
        <v>0</v>
      </c>
      <c r="J41" s="13">
        <f t="shared" si="2"/>
        <v>0</v>
      </c>
      <c r="K41" s="13">
        <f t="shared" si="2"/>
        <v>0</v>
      </c>
      <c r="L41" s="13">
        <f t="shared" si="2"/>
        <v>0</v>
      </c>
      <c r="M41" s="13">
        <f t="shared" si="2"/>
        <v>0</v>
      </c>
      <c r="N41" s="13">
        <f t="shared" si="2"/>
        <v>0</v>
      </c>
      <c r="O41" s="13">
        <f t="shared" si="2"/>
        <v>0</v>
      </c>
      <c r="P41" s="13">
        <f t="shared" si="2"/>
        <v>0</v>
      </c>
      <c r="Q41" s="13">
        <f t="shared" si="2"/>
        <v>0</v>
      </c>
      <c r="R41" s="13">
        <f t="shared" si="2"/>
        <v>0</v>
      </c>
      <c r="S41" s="13">
        <f t="shared" si="2"/>
        <v>0</v>
      </c>
      <c r="T41" s="13">
        <f t="shared" si="2"/>
        <v>0</v>
      </c>
      <c r="U41" s="13">
        <f t="shared" si="2"/>
        <v>0</v>
      </c>
      <c r="V41" s="13">
        <f t="shared" si="2"/>
        <v>0</v>
      </c>
      <c r="W41" s="13">
        <f t="shared" si="2"/>
        <v>0</v>
      </c>
      <c r="X41" s="13">
        <f t="shared" si="2"/>
        <v>0</v>
      </c>
      <c r="Y41" s="13">
        <f t="shared" si="2"/>
        <v>0</v>
      </c>
      <c r="Z41" s="13">
        <f t="shared" si="2"/>
        <v>0</v>
      </c>
      <c r="AA41" s="13">
        <f t="shared" si="2"/>
        <v>0</v>
      </c>
      <c r="AB41" s="13">
        <f t="shared" si="2"/>
        <v>0</v>
      </c>
      <c r="AC41" s="13">
        <f t="shared" si="2"/>
        <v>0</v>
      </c>
      <c r="AD41" s="47">
        <f t="shared" ref="AD41:AI41" si="3">+AD23+AD18-AD11</f>
        <v>0</v>
      </c>
      <c r="AE41" s="47">
        <f t="shared" si="3"/>
        <v>0</v>
      </c>
      <c r="AF41" s="47">
        <f t="shared" si="3"/>
        <v>0</v>
      </c>
      <c r="AG41" s="47">
        <f t="shared" si="3"/>
        <v>0</v>
      </c>
      <c r="AH41" s="47">
        <f t="shared" si="3"/>
        <v>0</v>
      </c>
      <c r="AI41" s="47">
        <f t="shared" si="3"/>
        <v>0</v>
      </c>
      <c r="AJ41" s="47"/>
      <c r="AK41" s="47"/>
      <c r="AL41" s="47"/>
      <c r="AM41" s="47"/>
    </row>
    <row r="42" spans="2:110" x14ac:dyDescent="0.3">
      <c r="CV42" s="12"/>
      <c r="CW42" s="12"/>
      <c r="CX42" s="12"/>
      <c r="CY42" s="12"/>
      <c r="CZ42" s="12"/>
      <c r="DA42" s="12"/>
      <c r="DB42" s="12"/>
      <c r="DC42" s="12"/>
      <c r="DD42" s="12"/>
      <c r="DE42" s="12"/>
      <c r="DF42" s="12"/>
    </row>
    <row r="43" spans="2:110" x14ac:dyDescent="0.3">
      <c r="CV43" s="12"/>
      <c r="CW43" s="12"/>
      <c r="CX43" s="12"/>
      <c r="CY43" s="12"/>
      <c r="CZ43" s="12"/>
      <c r="DA43" s="12"/>
      <c r="DB43" s="12"/>
      <c r="DC43" s="12"/>
      <c r="DD43" s="12"/>
      <c r="DE43" s="12"/>
      <c r="DF43" s="12"/>
    </row>
    <row r="44" spans="2:110" x14ac:dyDescent="0.3">
      <c r="CV44" s="12"/>
      <c r="CW44" s="12"/>
      <c r="CX44" s="12"/>
      <c r="CY44" s="12"/>
      <c r="CZ44" s="12"/>
      <c r="DA44" s="12"/>
      <c r="DB44" s="12"/>
      <c r="DC44" s="12"/>
      <c r="DD44" s="12"/>
      <c r="DE44" s="12"/>
      <c r="DF44" s="12"/>
    </row>
    <row r="45" spans="2:110" x14ac:dyDescent="0.3">
      <c r="CV45" s="12"/>
      <c r="CW45" s="12"/>
      <c r="CX45" s="12"/>
      <c r="CY45" s="12"/>
      <c r="CZ45" s="12"/>
      <c r="DA45" s="12"/>
      <c r="DB45" s="12"/>
      <c r="DC45" s="12"/>
      <c r="DD45" s="12"/>
      <c r="DE45" s="12"/>
      <c r="DF45" s="12"/>
    </row>
    <row r="46" spans="2:110" x14ac:dyDescent="0.3">
      <c r="CV46" s="12"/>
      <c r="CW46" s="12"/>
      <c r="CX46" s="12"/>
      <c r="CY46" s="12"/>
      <c r="CZ46" s="12"/>
      <c r="DA46" s="12"/>
      <c r="DB46" s="12"/>
      <c r="DC46" s="12"/>
      <c r="DD46" s="12"/>
      <c r="DE46" s="12"/>
      <c r="DF46" s="12"/>
    </row>
    <row r="47" spans="2:110" x14ac:dyDescent="0.3">
      <c r="CV47" s="12"/>
      <c r="CW47" s="12"/>
      <c r="CX47" s="12"/>
      <c r="CY47" s="12"/>
      <c r="CZ47" s="12"/>
      <c r="DA47" s="12"/>
      <c r="DB47" s="12"/>
      <c r="DC47" s="12"/>
      <c r="DD47" s="12"/>
      <c r="DE47" s="12"/>
      <c r="DF47" s="12"/>
    </row>
  </sheetData>
  <mergeCells count="23">
    <mergeCell ref="EF9:EQ9"/>
    <mergeCell ref="ER9:ES9"/>
    <mergeCell ref="D3:K3"/>
    <mergeCell ref="D4:K4"/>
    <mergeCell ref="D5:K5"/>
    <mergeCell ref="D6:K6"/>
    <mergeCell ref="D7:E7"/>
    <mergeCell ref="CV9:DG9"/>
    <mergeCell ref="CJ9:CU9"/>
    <mergeCell ref="BX9:CI9"/>
    <mergeCell ref="DH9:DS9"/>
    <mergeCell ref="DT9:EE9"/>
    <mergeCell ref="B40:C40"/>
    <mergeCell ref="B35:P35"/>
    <mergeCell ref="B36:P36"/>
    <mergeCell ref="BL9:BW9"/>
    <mergeCell ref="AN9:AY9"/>
    <mergeCell ref="AB9:AM9"/>
    <mergeCell ref="D9:O9"/>
    <mergeCell ref="P9:AA9"/>
    <mergeCell ref="AZ9:BK9"/>
    <mergeCell ref="B38:P38"/>
    <mergeCell ref="B39:P39"/>
  </mergeCells>
  <phoneticPr fontId="13" type="noConversion"/>
  <hyperlinks>
    <hyperlink ref="D7:E7" location="ÍNDICE!A1" display="&lt;- Volver a índice" xr:uid="{00000000-0004-0000-0200-000000000000}"/>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2026-03-12T14:10:07Z</dcterms:modified>
</cp:coreProperties>
</file>