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RIESGOS 2020\PEMS\2023\JULIO\"/>
    </mc:Choice>
  </mc:AlternateContent>
  <bookViews>
    <workbookView xWindow="0" yWindow="0" windowWidth="23040" windowHeight="8808" activeTab="1"/>
  </bookViews>
  <sheets>
    <sheet name="ÍNDICE" sheetId="2" r:id="rId1"/>
    <sheet name="Privado" sheetId="5" r:id="rId2"/>
    <sheet name="Popular y Solidario" sheetId="6" r:id="rId3"/>
  </sheets>
  <externalReferences>
    <externalReference r:id="rId4"/>
  </externalReferences>
  <definedNames>
    <definedName name="_xlnm.Print_Area" localSheetId="2">'Popular y Solidario'!$B$2:$BG$7</definedName>
    <definedName name="_xlnm.Print_Area" localSheetId="1">Privado!$B$2:$AO$7</definedName>
  </definedNames>
  <calcPr calcId="152511"/>
</workbook>
</file>

<file path=xl/calcChain.xml><?xml version="1.0" encoding="utf-8"?>
<calcChain xmlns="http://schemas.openxmlformats.org/spreadsheetml/2006/main">
  <c r="DY11" i="5" l="1"/>
  <c r="DE21" i="6" l="1"/>
  <c r="DH21" i="5" l="1"/>
  <c r="DG25" i="5" l="1"/>
  <c r="DG23" i="5"/>
  <c r="DG19" i="5"/>
  <c r="DG18" i="5"/>
  <c r="DG16" i="5"/>
  <c r="DG14" i="5"/>
  <c r="DG13" i="5"/>
  <c r="DG12" i="5"/>
  <c r="DG11" i="5"/>
  <c r="CU25" i="6"/>
  <c r="CU23" i="6"/>
  <c r="CU19" i="6"/>
  <c r="CU18" i="6"/>
  <c r="CU16" i="6"/>
  <c r="CU14" i="6"/>
  <c r="CU13" i="6"/>
  <c r="CU12" i="6"/>
  <c r="CU11" i="6"/>
  <c r="DF23" i="5" l="1"/>
  <c r="CS11" i="6" l="1"/>
  <c r="CS25" i="6" l="1"/>
  <c r="CS23" i="6"/>
  <c r="CS21" i="6"/>
  <c r="CS19" i="6"/>
  <c r="CS18" i="6"/>
  <c r="CS16" i="6"/>
  <c r="CS15" i="6"/>
  <c r="CS14" i="6"/>
  <c r="CS13" i="6"/>
  <c r="CS12" i="6"/>
  <c r="DE25" i="5" l="1"/>
  <c r="DE23" i="5"/>
  <c r="DE21" i="5"/>
  <c r="DE19" i="5"/>
  <c r="DE18" i="5"/>
  <c r="DE16" i="5"/>
  <c r="DE15" i="5"/>
  <c r="DE14" i="5"/>
  <c r="DE13" i="5"/>
  <c r="DE12" i="5"/>
  <c r="DE11" i="5"/>
  <c r="CR25" i="6" l="1"/>
  <c r="CR23" i="6"/>
  <c r="CR21" i="6"/>
  <c r="CR19" i="6"/>
  <c r="CR18" i="6"/>
  <c r="CR16" i="6"/>
  <c r="CR15" i="6"/>
  <c r="CR14" i="6"/>
  <c r="CR13" i="6"/>
  <c r="CR12" i="6"/>
  <c r="CR11" i="6"/>
  <c r="DD25" i="5"/>
  <c r="DD23" i="5"/>
  <c r="DD21" i="5"/>
  <c r="DD19" i="5"/>
  <c r="DD18" i="5"/>
  <c r="DD16" i="5"/>
  <c r="DD15" i="5"/>
  <c r="DD14" i="5"/>
  <c r="DD13" i="5"/>
  <c r="DD12" i="5"/>
  <c r="DD11" i="5"/>
  <c r="CQ25" i="6"/>
  <c r="CQ23" i="6"/>
  <c r="CQ21" i="6"/>
  <c r="CQ19" i="6"/>
  <c r="CQ18" i="6"/>
  <c r="CQ16" i="6"/>
  <c r="CQ15" i="6"/>
  <c r="CQ14" i="6"/>
  <c r="CQ13" i="6"/>
  <c r="CQ12" i="6"/>
  <c r="CQ11" i="6"/>
  <c r="DC23" i="5"/>
  <c r="DC21" i="5"/>
  <c r="DC19" i="5"/>
  <c r="DC18" i="5"/>
  <c r="DC25" i="5"/>
  <c r="DC16" i="5"/>
  <c r="DC15" i="5"/>
  <c r="DC14" i="5"/>
  <c r="DC13" i="5"/>
  <c r="DC12" i="5"/>
  <c r="DC11" i="5"/>
  <c r="CP12" i="6"/>
  <c r="CP13" i="6"/>
  <c r="CP14" i="6"/>
  <c r="CP15" i="6"/>
  <c r="CP16" i="6"/>
  <c r="CP18" i="6"/>
  <c r="CP19" i="6"/>
  <c r="CP20" i="6"/>
  <c r="CP21" i="6"/>
  <c r="CP23" i="6"/>
  <c r="CP25" i="6"/>
  <c r="CP11" i="6"/>
  <c r="CO25" i="6"/>
  <c r="CO23" i="6"/>
  <c r="CO21" i="6"/>
  <c r="CO19" i="6"/>
  <c r="CO18" i="6"/>
  <c r="CO16" i="6"/>
  <c r="CO15" i="6"/>
  <c r="CO14" i="6"/>
  <c r="CO13" i="6"/>
  <c r="CO12" i="6"/>
  <c r="CO11" i="6"/>
  <c r="DA25" i="5"/>
  <c r="DA23" i="5"/>
  <c r="DA21" i="5"/>
  <c r="DA19" i="5"/>
  <c r="DA18" i="5"/>
  <c r="DA16" i="5"/>
  <c r="DA15" i="5"/>
  <c r="DA14" i="5"/>
  <c r="DA13" i="5"/>
  <c r="DA12" i="5"/>
  <c r="DA11" i="5"/>
  <c r="CN25" i="6"/>
  <c r="CN23" i="6"/>
  <c r="CN21" i="6"/>
  <c r="CN19" i="6"/>
  <c r="CN18" i="6"/>
  <c r="CN15" i="6"/>
  <c r="CN16" i="6"/>
  <c r="CN12" i="6"/>
  <c r="CN14" i="6"/>
  <c r="CN13" i="6"/>
  <c r="CN11" i="6"/>
  <c r="CZ25" i="5"/>
  <c r="CZ23" i="5"/>
  <c r="CZ21" i="5"/>
  <c r="CZ19" i="5"/>
  <c r="CZ18" i="5"/>
  <c r="CZ16" i="5"/>
  <c r="CZ15" i="5"/>
  <c r="CZ14" i="5"/>
  <c r="CZ13" i="5"/>
  <c r="CZ12" i="5"/>
  <c r="CZ11" i="5"/>
  <c r="CM25" i="6"/>
  <c r="CM23" i="6"/>
  <c r="CM21" i="6"/>
  <c r="CM19" i="6"/>
  <c r="CM18" i="6"/>
  <c r="CM16" i="6"/>
  <c r="CM15" i="6"/>
  <c r="CM14" i="6"/>
  <c r="CM13" i="6"/>
  <c r="CM12" i="6"/>
  <c r="CM11" i="6"/>
  <c r="CY25" i="5"/>
  <c r="CY23" i="5"/>
  <c r="CY21" i="5"/>
  <c r="CY19" i="5"/>
  <c r="CY18" i="5"/>
  <c r="CY16" i="5"/>
  <c r="CY15" i="5"/>
  <c r="CY14" i="5"/>
  <c r="CY13" i="5"/>
  <c r="CY12" i="5"/>
  <c r="CY11" i="5"/>
  <c r="AZ25" i="5"/>
  <c r="AY25" i="5"/>
  <c r="AX25" i="5"/>
  <c r="AW25" i="5"/>
  <c r="AN25" i="6"/>
  <c r="AM25" i="6"/>
  <c r="AL25" i="6"/>
  <c r="AK25" i="6"/>
  <c r="AZ11" i="5"/>
  <c r="AZ16" i="5" s="1"/>
  <c r="AY11" i="5"/>
  <c r="AY16" i="5" s="1"/>
  <c r="AX11" i="5"/>
  <c r="AX16" i="5" s="1"/>
  <c r="AW11" i="5"/>
  <c r="AW16" i="5" s="1"/>
  <c r="AJ25" i="6"/>
  <c r="AJ16" i="6"/>
  <c r="AV11" i="5"/>
  <c r="AV16" i="5" s="1"/>
  <c r="AV25" i="5"/>
  <c r="D40" i="6"/>
  <c r="E40" i="6"/>
  <c r="F40" i="6"/>
  <c r="G40" i="6"/>
  <c r="H40" i="6"/>
  <c r="I40" i="6"/>
  <c r="J40" i="6"/>
  <c r="K40" i="6"/>
  <c r="L40" i="6"/>
  <c r="M40" i="6"/>
  <c r="N40" i="6"/>
  <c r="O40" i="6"/>
  <c r="P40" i="6"/>
  <c r="Q40" i="6"/>
  <c r="R40" i="6"/>
  <c r="S40" i="6"/>
  <c r="T40" i="6"/>
  <c r="U40" i="6"/>
  <c r="V40" i="6"/>
  <c r="W40" i="6"/>
  <c r="X40" i="6"/>
  <c r="Y40" i="6"/>
  <c r="Z40" i="6"/>
  <c r="AA40" i="6"/>
  <c r="AB40" i="6"/>
  <c r="AC40" i="6"/>
  <c r="AI41" i="6"/>
  <c r="AH41" i="6"/>
  <c r="AG41" i="6"/>
  <c r="AF41" i="6"/>
  <c r="AE41" i="6"/>
  <c r="AD41" i="6"/>
  <c r="AO46" i="5"/>
  <c r="AN46" i="5"/>
  <c r="AM46" i="5"/>
  <c r="AL46" i="5"/>
  <c r="AK46" i="5"/>
  <c r="AJ46" i="5"/>
  <c r="AI46" i="5"/>
  <c r="AH46" i="5"/>
  <c r="AG46" i="5"/>
  <c r="AF46" i="5"/>
  <c r="AE46" i="5"/>
  <c r="AD46" i="5"/>
  <c r="AC46" i="5"/>
  <c r="AB46" i="5"/>
  <c r="AO45" i="5"/>
  <c r="AN45" i="5"/>
  <c r="AM45" i="5"/>
  <c r="AL45" i="5"/>
  <c r="AK45" i="5"/>
  <c r="AJ45" i="5"/>
  <c r="AI45" i="5"/>
  <c r="AH45" i="5"/>
  <c r="AG45" i="5"/>
  <c r="AF45" i="5"/>
  <c r="AE45" i="5"/>
  <c r="AD45" i="5"/>
  <c r="AC45" i="5"/>
  <c r="AB45" i="5"/>
  <c r="AO44" i="5"/>
  <c r="AN44" i="5"/>
  <c r="AM44" i="5"/>
  <c r="AL44" i="5"/>
  <c r="AK44" i="5"/>
  <c r="AJ44" i="5"/>
  <c r="AI44" i="5"/>
  <c r="AH44" i="5"/>
  <c r="AG44" i="5"/>
  <c r="AF44" i="5"/>
  <c r="AE44" i="5"/>
  <c r="AD44" i="5"/>
  <c r="AC44" i="5"/>
  <c r="AB44" i="5"/>
  <c r="AO39" i="5"/>
  <c r="AN39" i="5"/>
  <c r="AM39" i="5"/>
  <c r="AL39" i="5"/>
  <c r="AK39" i="5"/>
  <c r="AJ39" i="5"/>
  <c r="AI39" i="5"/>
  <c r="AH39" i="5"/>
  <c r="AG39" i="5"/>
  <c r="AF39" i="5"/>
  <c r="AE39" i="5"/>
  <c r="AD39" i="5"/>
  <c r="AC39" i="5"/>
  <c r="AB39" i="5"/>
  <c r="X39" i="5"/>
  <c r="Q39" i="5"/>
  <c r="AA46" i="5"/>
  <c r="Z46" i="5"/>
  <c r="Y46" i="5"/>
  <c r="X46" i="5"/>
  <c r="W46" i="5"/>
  <c r="V46" i="5"/>
  <c r="U46" i="5"/>
  <c r="T46" i="5"/>
  <c r="S46" i="5"/>
  <c r="R46" i="5"/>
  <c r="Q46" i="5"/>
  <c r="P46" i="5"/>
  <c r="O46" i="5"/>
  <c r="N46" i="5"/>
  <c r="M46" i="5"/>
  <c r="L46" i="5"/>
  <c r="K46" i="5"/>
  <c r="J46" i="5"/>
  <c r="I46" i="5"/>
  <c r="H46" i="5"/>
  <c r="G46" i="5"/>
  <c r="F46" i="5"/>
  <c r="E46" i="5"/>
  <c r="D46" i="5"/>
  <c r="AA45" i="5"/>
  <c r="Z45" i="5"/>
  <c r="Y45" i="5"/>
  <c r="X45" i="5"/>
  <c r="W45" i="5"/>
  <c r="V45" i="5"/>
  <c r="U45" i="5"/>
  <c r="T45" i="5"/>
  <c r="S45" i="5"/>
  <c r="R45" i="5"/>
  <c r="Q45" i="5"/>
  <c r="P45" i="5"/>
  <c r="O45" i="5"/>
  <c r="N45" i="5"/>
  <c r="M45" i="5"/>
  <c r="L45" i="5"/>
  <c r="K45" i="5"/>
  <c r="J45" i="5"/>
  <c r="I45" i="5"/>
  <c r="H45" i="5"/>
  <c r="G45" i="5"/>
  <c r="F45" i="5"/>
  <c r="E45" i="5"/>
  <c r="D45" i="5"/>
  <c r="AA44" i="5"/>
  <c r="Z44" i="5"/>
  <c r="Y44" i="5"/>
  <c r="X44" i="5"/>
  <c r="W44" i="5"/>
  <c r="V44" i="5"/>
  <c r="U44" i="5"/>
  <c r="T44" i="5"/>
  <c r="S44" i="5"/>
  <c r="R44" i="5"/>
  <c r="Q44" i="5"/>
  <c r="P44" i="5"/>
  <c r="O44" i="5"/>
  <c r="N44" i="5"/>
  <c r="M44" i="5"/>
  <c r="L44" i="5"/>
  <c r="K44" i="5"/>
  <c r="J44" i="5"/>
  <c r="I44" i="5"/>
  <c r="H44" i="5"/>
  <c r="G44" i="5"/>
  <c r="F44" i="5"/>
  <c r="E44" i="5"/>
  <c r="D44" i="5"/>
  <c r="AA39" i="5"/>
  <c r="Z39" i="5"/>
  <c r="Y39" i="5"/>
  <c r="W39" i="5"/>
  <c r="V39" i="5"/>
  <c r="U39" i="5"/>
  <c r="T39" i="5"/>
  <c r="S39" i="5"/>
  <c r="R39" i="5"/>
  <c r="AC41" i="6"/>
  <c r="AB41" i="6"/>
  <c r="AA41" i="6"/>
  <c r="Z41" i="6"/>
  <c r="Y41" i="6"/>
  <c r="X41" i="6"/>
  <c r="W41" i="6"/>
  <c r="V41" i="6"/>
  <c r="U41" i="6"/>
  <c r="T41" i="6"/>
  <c r="S41" i="6"/>
  <c r="R41" i="6"/>
  <c r="Q41" i="6"/>
  <c r="P41" i="6"/>
  <c r="O41" i="6"/>
  <c r="N41" i="6"/>
  <c r="M41" i="6"/>
  <c r="L41" i="6"/>
  <c r="K41" i="6"/>
  <c r="J41" i="6"/>
  <c r="I41" i="6"/>
  <c r="H41" i="6"/>
  <c r="G41" i="6"/>
  <c r="F41" i="6"/>
  <c r="E41" i="6"/>
  <c r="D41" i="6"/>
  <c r="AC39" i="6"/>
  <c r="AB39" i="6"/>
  <c r="AA39" i="6"/>
  <c r="Z39" i="6"/>
  <c r="Y39" i="6"/>
  <c r="X39" i="6"/>
  <c r="W39" i="6"/>
  <c r="V39" i="6"/>
  <c r="U39" i="6"/>
  <c r="T39" i="6"/>
  <c r="S39" i="6"/>
  <c r="R39" i="6"/>
  <c r="Q39" i="6"/>
</calcChain>
</file>

<file path=xl/sharedStrings.xml><?xml version="1.0" encoding="utf-8"?>
<sst xmlns="http://schemas.openxmlformats.org/spreadsheetml/2006/main" count="347" uniqueCount="122">
  <si>
    <t>Febrero</t>
  </si>
  <si>
    <t>Julio</t>
  </si>
  <si>
    <t>Septiembre</t>
  </si>
  <si>
    <t>Octubre</t>
  </si>
  <si>
    <t>Noviembre</t>
  </si>
  <si>
    <t>Diciembre</t>
  </si>
  <si>
    <t>Año 2013</t>
  </si>
  <si>
    <t>Marzo</t>
  </si>
  <si>
    <t>Abril</t>
  </si>
  <si>
    <t>Mayo</t>
  </si>
  <si>
    <t>Enero</t>
  </si>
  <si>
    <t>Junio</t>
  </si>
  <si>
    <t>Agosto</t>
  </si>
  <si>
    <t>Año 2014</t>
  </si>
  <si>
    <t>Año 2015</t>
  </si>
  <si>
    <t>Año 2016</t>
  </si>
  <si>
    <t>CORPORACIÓN DEL SEGURO DE DEPÓSITOS, FONDO DE LIQUIDEZ Y FONDO DE SEGUROS PRIVADOS</t>
  </si>
  <si>
    <t>SISTEMA FINANCIERO PRIVADO</t>
  </si>
  <si>
    <t>SISTEMA FINANCIERO POPULAR Y SOLIDARIO</t>
  </si>
  <si>
    <t>&lt;- Volver a índice</t>
  </si>
  <si>
    <t>Activo</t>
  </si>
  <si>
    <t>1.1</t>
  </si>
  <si>
    <t>Fondos Disponibles</t>
  </si>
  <si>
    <t>1.2</t>
  </si>
  <si>
    <t>Inversiones</t>
  </si>
  <si>
    <t>1.3</t>
  </si>
  <si>
    <t>Cuentas por cobrar</t>
  </si>
  <si>
    <t>Pasivo</t>
  </si>
  <si>
    <t>2.1</t>
  </si>
  <si>
    <t>2.2</t>
  </si>
  <si>
    <t>Obligaciones financieras</t>
  </si>
  <si>
    <t>Notas</t>
  </si>
  <si>
    <t>Cuentas por pagar</t>
  </si>
  <si>
    <t>ESTADO DE SITUACIÓN CONSOLIDADO DEL FONDO DE SEGURO DE DEPÓSITOS DEL SISTEMA POPULAR Y SOLIDARIO</t>
  </si>
  <si>
    <t>(en miles de US$)</t>
  </si>
  <si>
    <t>(3) Enero 2015: El Banco del Pacífico informó que por error en la instrucción recibida se duplicó el valor de la transferencia interbancaria de US$5.000.000 ordenada por el Banco Territorial. Particular que se regularizó en marzo de 2015.</t>
  </si>
  <si>
    <t>4. ESTADO DE SITUACIÓN CONSOLIDADO</t>
  </si>
  <si>
    <t>4.1.</t>
  </si>
  <si>
    <t>4.2.</t>
  </si>
  <si>
    <t>(2) Desde julio de 2013 a febrero 2014 los datos son provisionales.</t>
  </si>
  <si>
    <t>(1) Entre junio 2013 y febrero 2014 los aportes de las cooperativas pasan a cuentas por pagar hasta la conformación del fideicomiso del fondo de seguro de depósitos popular y solidario (Ref. Res. No. DIR-2013-006)</t>
  </si>
  <si>
    <t>enero</t>
  </si>
  <si>
    <t>febrero</t>
  </si>
  <si>
    <t>marzo</t>
  </si>
  <si>
    <t>abril</t>
  </si>
  <si>
    <t>mayo</t>
  </si>
  <si>
    <t>junio</t>
  </si>
  <si>
    <t>julio</t>
  </si>
  <si>
    <t>agosto</t>
  </si>
  <si>
    <t>septiembre</t>
  </si>
  <si>
    <t>octubre</t>
  </si>
  <si>
    <t>noviembre</t>
  </si>
  <si>
    <t>diciembre</t>
  </si>
  <si>
    <t xml:space="preserve">Junio </t>
  </si>
  <si>
    <t xml:space="preserve">Julio </t>
  </si>
  <si>
    <t>Gastos</t>
  </si>
  <si>
    <t>Ingresos</t>
  </si>
  <si>
    <t xml:space="preserve">Notas </t>
  </si>
  <si>
    <t>(2) A partir de septiembre de 2016 el administrador fiduciario es el Banco Central del Ecuador "BCE", anteriormente fue la Corporación Financiera Nacional "CFN".</t>
  </si>
  <si>
    <t>(4) A partir de septiembre de 2016 el administrador fiduciario es el Banco Central del Ecuador "BCE", anteriormente fue la Corporación Financiera Nacional "CFN".</t>
  </si>
  <si>
    <t xml:space="preserve">(1) El valor de las cuentas por pagar registrado en agosto de 2016 fue ajustado por la Fiduciaria en septiembre de 2016. </t>
  </si>
  <si>
    <t>Total Activo y Gastos</t>
  </si>
  <si>
    <t>Total pasivo, patrimonio e ingresos</t>
  </si>
  <si>
    <t>(3) El esquema de presentación del reporte ha sido modificado en función de la nueva presentación de balances del actual fiduciario.</t>
  </si>
  <si>
    <t xml:space="preserve">(4) El valor del Fideicomiso del Sector Financiero Popular y Solidario registrado a octubre de 2016 debe ser considerado como un dato provisional, debido a que las cuentas por cobrar se encuentran en proceso de revisión. </t>
  </si>
  <si>
    <t>(5) El valor de los activos del mes de septiembre de 2016 ha sido ajustado al nuevo esquema de presentación de balances aplicado por el BCE.</t>
  </si>
  <si>
    <t>(6) El esquema de presentación del reporte ha sido modificado en función de la nueva presentación de balances del actual fiduciario.</t>
  </si>
  <si>
    <t>Año 2017</t>
  </si>
  <si>
    <t>(8) Los gastos se incrementaron en US$42.9 millones debido a que a partir de diciembre se realizó la provisión de cuentas por cobrar a Entidades en liquidación.</t>
  </si>
  <si>
    <t>(9) La disminución de los ingresos se presenta debido a que en el mes de diciembre se ajustó el valor de los rendimientos.</t>
  </si>
  <si>
    <t>(6) Los gastos se incrementaron en US$42.9 millones debido a que a partir de diciembre se realizó la provisión de cuentas por cobrar a Entidades en liquidación.</t>
  </si>
  <si>
    <t>(7) La disminución de los ingresos se presenta debido a que en el mes de diciembre se ajustó el valor de los rendimientos.</t>
  </si>
  <si>
    <t>(7) En diciembre los resultados (ingresos y gastos) pasan a formar parte del Patrimonio; sin embargo, para que los datos sean comparativos se disgregaron estos valores.</t>
  </si>
  <si>
    <r>
      <t>Diciembre</t>
    </r>
    <r>
      <rPr>
        <b/>
        <vertAlign val="superscript"/>
        <sz val="11"/>
        <color theme="0"/>
        <rFont val="Calibri"/>
        <family val="2"/>
        <scheme val="minor"/>
      </rPr>
      <t>(7, 8 , 9)</t>
    </r>
  </si>
  <si>
    <r>
      <t xml:space="preserve">Diciembre </t>
    </r>
    <r>
      <rPr>
        <b/>
        <vertAlign val="superscript"/>
        <sz val="11"/>
        <color theme="0"/>
        <rFont val="Calibri"/>
        <family val="2"/>
        <scheme val="minor"/>
      </rPr>
      <t>5,6,7</t>
    </r>
  </si>
  <si>
    <t>(5) En diciembre los resultados (ingresos y gastos) pasan a formar parte del Patrimonio; sin embargo, para que los datos sean comparativos se disgregaron estos valores.</t>
  </si>
  <si>
    <t xml:space="preserve">Mayo </t>
  </si>
  <si>
    <t>Patrimonio</t>
  </si>
  <si>
    <r>
      <t xml:space="preserve">Julio </t>
    </r>
    <r>
      <rPr>
        <b/>
        <vertAlign val="superscript"/>
        <sz val="11"/>
        <color theme="0"/>
        <rFont val="Calibri"/>
        <family val="2"/>
        <scheme val="minor"/>
      </rPr>
      <t>8</t>
    </r>
  </si>
  <si>
    <t>(8) Datos ajustados por el siguiente particular: El 21 de febrero de 2014 se constituyó el Fideicomiso del Seguro de Depósitos del Sector Financiero Popular y Solidario, bajo la administración de la Corporación Financiera Nacional (CFN). Con la expedición del Código Orgánico Monetario y Financiero, el 14 de julio de 2016 se suscribió la escritura pública de constitución del Fideicomiso Mercantil denominado Fideicomiso del Seguro de Depósitos de las Entidades del Sector Financiero Popular y Solidario, administrado por el Banco Central del Ecuador (BCE). Hasta que culmine el proceso de liquidación del primer Fideicomiso, el valor del pasivo total se desprende de la suma de los saldos registrados por la CFN y el BCE. En el registro de dicha cuenta en la PEM de julio de 2017, se presenta el valor de US$ 3.105.078,43, correspondiente al monto del pasivo en el Fideicomiso administrado por BCE; pero, omite el valor de US$ 4.180,00 equivalente al saldo del pasivo en el Fideicomiso administrado por CFN. Por este motivo el valor del pasivo total al mes julio de 2017 es de US$ 3.109.258,43.</t>
  </si>
  <si>
    <r>
      <t xml:space="preserve">Diciembre </t>
    </r>
    <r>
      <rPr>
        <b/>
        <vertAlign val="superscript"/>
        <sz val="11"/>
        <color theme="0"/>
        <rFont val="Calibri"/>
        <family val="2"/>
        <scheme val="minor"/>
      </rPr>
      <t>(10)</t>
    </r>
    <r>
      <rPr>
        <b/>
        <sz val="11"/>
        <color theme="0"/>
        <rFont val="Calibri"/>
        <family val="2"/>
        <scheme val="minor"/>
      </rPr>
      <t xml:space="preserve"> </t>
    </r>
  </si>
  <si>
    <t>(10) Conforme establece el Catálogo de Cuentas del Fideicomiso del Seguro de Depósitos de las Entidades del Sector Financiero Privado expedido por la Superintendencia de Bancos a través de Resolución No. SB-2015-0935 de 01 de octubre de 2015, al 31 de diciembre de 2017 la cuenta patrimonial registra los excedentes del ejercicio.</t>
  </si>
  <si>
    <t>(9) Conforme establece el Catálogo de Único de Cuentas para el Fideicomiso del Seguro de Depósitos del Sector Financiero Popular y Solidario expedido por la Superintendencia de Economía Popular y Solidaria a través de Resolución No. SEPS-IGT-IFPS-IEN-IGPJ-2015-087 de 09 de septiembre de 2015, al 31 de diciembre de 2017 la cuenta patrimonial registra la pérdida operativa del ejercicio.</t>
  </si>
  <si>
    <r>
      <t xml:space="preserve">Diciembre </t>
    </r>
    <r>
      <rPr>
        <b/>
        <vertAlign val="superscript"/>
        <sz val="11"/>
        <color theme="0"/>
        <rFont val="Calibri"/>
        <family val="2"/>
        <scheme val="minor"/>
      </rPr>
      <t>(9)</t>
    </r>
  </si>
  <si>
    <t>Año 2018</t>
  </si>
  <si>
    <t>-</t>
  </si>
  <si>
    <t xml:space="preserve">Septiembre </t>
  </si>
  <si>
    <t>Año 2019</t>
  </si>
  <si>
    <t>Octube</t>
  </si>
  <si>
    <t>(11) En el mes de noviembre no se realiza la instrucción de transferencia de recaudación por no tener los documentos habilitantes completos, causando que el patrimonio se mantenga constante.</t>
  </si>
  <si>
    <t>(10) Las variaciones en las cuentas por pagar de los meses de julio y agosto 2019 se originan como consecuencia de la restitución del seguro de depósitos por parte de agentes pagadores.</t>
  </si>
  <si>
    <r>
      <t xml:space="preserve">Julio </t>
    </r>
    <r>
      <rPr>
        <b/>
        <vertAlign val="superscript"/>
        <sz val="11"/>
        <color theme="0"/>
        <rFont val="Calibri"/>
        <family val="2"/>
        <scheme val="minor"/>
      </rPr>
      <t>10</t>
    </r>
  </si>
  <si>
    <r>
      <t xml:space="preserve">Agosto </t>
    </r>
    <r>
      <rPr>
        <b/>
        <vertAlign val="superscript"/>
        <sz val="11"/>
        <color theme="0"/>
        <rFont val="Calibri"/>
        <family val="2"/>
        <scheme val="minor"/>
      </rPr>
      <t>10</t>
    </r>
  </si>
  <si>
    <t>Año 2020</t>
  </si>
  <si>
    <t>(12)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Por otro lado este proceso se regulariza para el mes de febrero.</t>
  </si>
  <si>
    <t>*</t>
  </si>
  <si>
    <t>(11) El patrimonio de los meses de mayo y junio permanecen constantes con referencia a lo registrado en el mes de abril de 2020, lo anterior  debido  a que se tenían CUR's pendientes de efectivización. Dicho particular se regulariza con las efectivizaciones realizadas en el transcurso del mes de  julio del año en curso.</t>
  </si>
  <si>
    <r>
      <t xml:space="preserve">Mayo </t>
    </r>
    <r>
      <rPr>
        <b/>
        <vertAlign val="superscript"/>
        <sz val="11"/>
        <color theme="0"/>
        <rFont val="Calibri"/>
        <family val="2"/>
        <scheme val="minor"/>
      </rPr>
      <t>11</t>
    </r>
  </si>
  <si>
    <r>
      <t xml:space="preserve">Junio </t>
    </r>
    <r>
      <rPr>
        <b/>
        <vertAlign val="superscript"/>
        <sz val="11"/>
        <color theme="0"/>
        <rFont val="Calibri"/>
        <family val="2"/>
        <scheme val="minor"/>
      </rPr>
      <t>11</t>
    </r>
  </si>
  <si>
    <r>
      <t xml:space="preserve">Mayo </t>
    </r>
    <r>
      <rPr>
        <b/>
        <vertAlign val="superscript"/>
        <sz val="11"/>
        <color theme="0"/>
        <rFont val="Calibri"/>
        <family val="2"/>
        <scheme val="minor"/>
      </rPr>
      <t>13</t>
    </r>
  </si>
  <si>
    <r>
      <t xml:space="preserve">Abril </t>
    </r>
    <r>
      <rPr>
        <b/>
        <vertAlign val="superscript"/>
        <sz val="11"/>
        <color theme="0"/>
        <rFont val="Calibri"/>
        <family val="2"/>
        <scheme val="minor"/>
      </rPr>
      <t>13</t>
    </r>
  </si>
  <si>
    <t>(13) El patrimonio del Fideicomiso de los meses de abril y mayo se mantienen constantes debido  a que se tenían CUR's pendientes de efectivización. Dicho particular se regulariza con las efectivizaciones realizadas en los meses de junio y  julio del año en curso.</t>
  </si>
  <si>
    <r>
      <t>Agosto</t>
    </r>
    <r>
      <rPr>
        <b/>
        <vertAlign val="superscript"/>
        <sz val="11"/>
        <color theme="0"/>
        <rFont val="Calibri"/>
        <family val="2"/>
        <scheme val="minor"/>
      </rPr>
      <t>14</t>
    </r>
  </si>
  <si>
    <t>(14) A partir del mes de agosto, no se consideran los valores de los EEFF del Fideicomiso del Fondo de Seguros en liquidación, administrado por CFN, debido a que CFN con Oficio No.CFN-B.P.-SOAF-2020-1279-O de 07 de agosto,  pone en conocimiento que el 08 de agosto de 2020 se realizará la restitución de valor de fondos disponibles que se mantenía en la cuenta corriente. El 11 de agosto se confirma la acreditación de recursos a la cuenta de la COSEDE. Cabe indicar que el 19 de mayo de 2020 se suscribió la Escritura Pública de Terminación y Liquidación del Fideicomiso en mención.</t>
  </si>
  <si>
    <t xml:space="preserve">Octubre </t>
  </si>
  <si>
    <r>
      <t xml:space="preserve">Enero </t>
    </r>
    <r>
      <rPr>
        <b/>
        <vertAlign val="superscript"/>
        <sz val="11"/>
        <color theme="0"/>
        <rFont val="Calibri"/>
        <family val="2"/>
        <scheme val="minor"/>
      </rPr>
      <t>12</t>
    </r>
  </si>
  <si>
    <r>
      <t xml:space="preserve">Enero </t>
    </r>
    <r>
      <rPr>
        <b/>
        <vertAlign val="superscript"/>
        <sz val="11"/>
        <color theme="0"/>
        <rFont val="Calibri"/>
        <family val="2"/>
        <scheme val="minor"/>
      </rPr>
      <t>15</t>
    </r>
  </si>
  <si>
    <t>Año 2021</t>
  </si>
  <si>
    <r>
      <t xml:space="preserve">Febrero </t>
    </r>
    <r>
      <rPr>
        <b/>
        <vertAlign val="superscript"/>
        <sz val="11"/>
        <color theme="0"/>
        <rFont val="Calibri"/>
        <family val="2"/>
        <scheme val="minor"/>
      </rPr>
      <t>12</t>
    </r>
  </si>
  <si>
    <t>15) El patrimonio de los meses de enero y febrero y marzo de 2021 permanece constante con referencia a lo registrado en el mes de diciembre de 2020. Lo anterior debido a que  la COSEDE se encuentra realizando la migración de datos del sistema E-SIGEF al sistema SINAFIP, por lo que no se han transferido recursos.</t>
  </si>
  <si>
    <r>
      <t xml:space="preserve">Marzo </t>
    </r>
    <r>
      <rPr>
        <b/>
        <vertAlign val="superscript"/>
        <sz val="11"/>
        <color theme="0"/>
        <rFont val="Calibri"/>
        <family val="2"/>
        <scheme val="minor"/>
      </rPr>
      <t>15</t>
    </r>
  </si>
  <si>
    <t>12)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</si>
  <si>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 xml:space="preserve">Marzo </t>
  </si>
  <si>
    <t xml:space="preserve">Abril </t>
  </si>
  <si>
    <t>16) El patrimonio del mes de octubre de 2021, permanece constante con referencia al mes de septiembre, debido a que  estos recursos fueron transferidos en el mes de  octubre y se efectivizaron en el mes de noviembre.</t>
  </si>
  <si>
    <r>
      <t xml:space="preserve">Octubre </t>
    </r>
    <r>
      <rPr>
        <b/>
        <vertAlign val="superscript"/>
        <sz val="11"/>
        <color theme="0"/>
        <rFont val="Calibri"/>
        <family val="2"/>
        <scheme val="minor"/>
      </rPr>
      <t>16</t>
    </r>
  </si>
  <si>
    <t>Año 2022</t>
  </si>
  <si>
    <r>
      <rPr>
        <b/>
        <sz val="11"/>
        <color theme="1"/>
        <rFont val="Calibri"/>
        <family val="2"/>
        <scheme val="minor"/>
      </rPr>
      <t>Fuente:</t>
    </r>
    <r>
      <rPr>
        <sz val="11"/>
        <color theme="1"/>
        <rFont val="Calibri"/>
        <family val="2"/>
        <scheme val="minor"/>
      </rPr>
      <t xml:space="preserve"> COSEDE</t>
    </r>
  </si>
  <si>
    <t xml:space="preserve">                             ESTADO DE SITUACIÓN CONSOLIDADO DEL FONDO DE SEGURO DE DEPÓSITOS DEL SISTEMA PRIVADO</t>
  </si>
  <si>
    <t>Año 2023</t>
  </si>
  <si>
    <r>
      <t xml:space="preserve">PUBLICACIÓN ESTADÍSTICA MENSUAL 
</t>
    </r>
    <r>
      <rPr>
        <b/>
        <sz val="11"/>
        <color theme="0" tint="-0.499984740745262"/>
        <rFont val="Garamond"/>
        <family val="1"/>
      </rPr>
      <t>(datos al 31 de julio de 2023)</t>
    </r>
  </si>
  <si>
    <t>Al 31 de julio de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</si>
</sst>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4"/>
      <color theme="2"/>
      <name val="Calibri"/>
      <family val="2"/>
      <scheme val="minor"/>
    </font>
    <font>
      <u/>
      <sz val="11"/>
      <color theme="10"/>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b/>
      <sz val="14"/>
      <color theme="0" tint="-0.499984740745262"/>
      <name val="Garamond"/>
      <family val="1"/>
    </font>
    <font>
      <b/>
      <sz val="11"/>
      <color theme="0" tint="-0.499984740745262"/>
      <name val="Garamond"/>
      <family val="1"/>
    </font>
    <font>
      <b/>
      <vertAlign val="superscript"/>
      <sz val="11"/>
      <color theme="0"/>
      <name val="Calibri"/>
      <family val="2"/>
      <scheme val="minor"/>
    </font>
    <font>
      <sz val="11"/>
      <color rgb="FFFFFFFF"/>
      <name val="Calibri"/>
      <family val="2"/>
      <charset val="1"/>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6FAC46"/>
        <bgColor rgb="FF8FC56C"/>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s>
  <cellStyleXfs count="5">
    <xf numFmtId="0" fontId="0" fillId="0" borderId="0"/>
    <xf numFmtId="164" fontId="1" fillId="0" borderId="0" applyFon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8" borderId="0" applyBorder="0" applyAlignment="0" applyProtection="0"/>
  </cellStyleXfs>
  <cellXfs count="113">
    <xf numFmtId="0" fontId="0" fillId="0" borderId="0" xfId="0"/>
    <xf numFmtId="0" fontId="0" fillId="2" borderId="0" xfId="0" applyFill="1" applyBorder="1"/>
    <xf numFmtId="0" fontId="0" fillId="2" borderId="0" xfId="0" applyFill="1"/>
    <xf numFmtId="0" fontId="0" fillId="2" borderId="0" xfId="0" quotePrefix="1" applyFill="1" applyBorder="1" applyAlignment="1">
      <alignment horizontal="center"/>
    </xf>
    <xf numFmtId="0" fontId="0" fillId="5" borderId="1" xfId="0" quotePrefix="1" applyFill="1" applyBorder="1" applyAlignment="1">
      <alignment horizontal="center"/>
    </xf>
    <xf numFmtId="0" fontId="0" fillId="6" borderId="1" xfId="0" quotePrefix="1" applyFill="1" applyBorder="1" applyAlignment="1">
      <alignment horizontal="center"/>
    </xf>
    <xf numFmtId="0" fontId="0" fillId="2" borderId="0" xfId="0" applyFont="1" applyFill="1" applyAlignment="1">
      <alignment horizontal="right"/>
    </xf>
    <xf numFmtId="0" fontId="0" fillId="2" borderId="0" xfId="0" applyFont="1" applyFill="1"/>
    <xf numFmtId="0" fontId="0" fillId="2" borderId="0" xfId="0" applyFont="1" applyFill="1" applyBorder="1" applyAlignment="1">
      <alignment horizontal="left"/>
    </xf>
    <xf numFmtId="4" fontId="0" fillId="2" borderId="0" xfId="0" applyNumberFormat="1" applyFont="1" applyFill="1" applyBorder="1" applyAlignment="1">
      <alignment horizontal="left"/>
    </xf>
    <xf numFmtId="4" fontId="0" fillId="2" borderId="0" xfId="0" applyNumberFormat="1" applyFont="1" applyFill="1"/>
    <xf numFmtId="164" fontId="0" fillId="2" borderId="0" xfId="0" applyNumberFormat="1" applyFont="1" applyFill="1"/>
    <xf numFmtId="0" fontId="5" fillId="2" borderId="0" xfId="0" applyFont="1" applyFill="1" applyBorder="1" applyAlignment="1">
      <alignment horizontal="center"/>
    </xf>
    <xf numFmtId="165" fontId="0" fillId="0" borderId="0" xfId="1" applyNumberFormat="1" applyFont="1"/>
    <xf numFmtId="0" fontId="0" fillId="2" borderId="0" xfId="0" applyFont="1" applyFill="1" applyAlignment="1"/>
    <xf numFmtId="4" fontId="0" fillId="2" borderId="0" xfId="0" applyNumberFormat="1" applyFont="1" applyFill="1" applyAlignment="1"/>
    <xf numFmtId="164" fontId="0" fillId="2" borderId="0" xfId="0" applyNumberFormat="1" applyFont="1" applyFill="1" applyAlignment="1"/>
    <xf numFmtId="0" fontId="8" fillId="0" borderId="0" xfId="0" applyFont="1"/>
    <xf numFmtId="164" fontId="8" fillId="0" borderId="0" xfId="0" applyNumberFormat="1" applyFont="1"/>
    <xf numFmtId="164" fontId="8" fillId="0" borderId="0" xfId="1" applyNumberFormat="1" applyFont="1"/>
    <xf numFmtId="0" fontId="8" fillId="2" borderId="0" xfId="0" applyFont="1" applyFill="1" applyAlignment="1">
      <alignment horizontal="right"/>
    </xf>
    <xf numFmtId="0" fontId="8" fillId="2" borderId="0" xfId="0" applyFont="1" applyFill="1"/>
    <xf numFmtId="4" fontId="8" fillId="2" borderId="0" xfId="0" applyNumberFormat="1" applyFont="1" applyFill="1"/>
    <xf numFmtId="165" fontId="0" fillId="2" borderId="0" xfId="1" applyNumberFormat="1" applyFont="1" applyFill="1"/>
    <xf numFmtId="165" fontId="0" fillId="0" borderId="0" xfId="1" applyNumberFormat="1" applyFont="1" applyAlignment="1"/>
    <xf numFmtId="164" fontId="6" fillId="0" borderId="0" xfId="1" applyFont="1" applyFill="1" applyBorder="1"/>
    <xf numFmtId="0" fontId="0" fillId="0" borderId="0" xfId="0" applyFont="1" applyAlignment="1">
      <alignment vertical="center"/>
    </xf>
    <xf numFmtId="164" fontId="6" fillId="2" borderId="1" xfId="1" applyFont="1" applyFill="1" applyBorder="1"/>
    <xf numFmtId="164" fontId="6" fillId="2" borderId="1" xfId="1" applyNumberFormat="1" applyFont="1" applyFill="1" applyBorder="1"/>
    <xf numFmtId="164" fontId="7" fillId="2" borderId="1" xfId="1" applyFont="1" applyFill="1" applyBorder="1"/>
    <xf numFmtId="164" fontId="7" fillId="2" borderId="1" xfId="1" applyNumberFormat="1" applyFont="1" applyFill="1" applyBorder="1"/>
    <xf numFmtId="164" fontId="6" fillId="7" borderId="1" xfId="1" applyFont="1" applyFill="1" applyBorder="1"/>
    <xf numFmtId="164" fontId="6" fillId="7" borderId="1" xfId="1" applyNumberFormat="1" applyFont="1" applyFill="1" applyBorder="1"/>
    <xf numFmtId="164" fontId="7" fillId="2" borderId="1" xfId="1" applyNumberFormat="1" applyFont="1" applyFill="1" applyBorder="1" applyAlignment="1">
      <alignment horizontal="right"/>
    </xf>
    <xf numFmtId="164" fontId="7" fillId="2" borderId="1" xfId="1" applyFont="1" applyFill="1" applyBorder="1" applyAlignment="1">
      <alignment horizontal="right"/>
    </xf>
    <xf numFmtId="164" fontId="0" fillId="0" borderId="1" xfId="1" applyFont="1" applyBorder="1"/>
    <xf numFmtId="0" fontId="5" fillId="2" borderId="1" xfId="0" applyFont="1" applyFill="1" applyBorder="1" applyAlignment="1">
      <alignment horizontal="center"/>
    </xf>
    <xf numFmtId="0" fontId="5" fillId="2" borderId="1" xfId="0" applyFont="1" applyFill="1" applyBorder="1"/>
    <xf numFmtId="0" fontId="7" fillId="2" borderId="1" xfId="0" applyFont="1" applyFill="1" applyBorder="1"/>
    <xf numFmtId="0" fontId="5" fillId="7" borderId="1" xfId="0" applyFont="1" applyFill="1" applyBorder="1" applyAlignment="1">
      <alignment horizontal="center"/>
    </xf>
    <xf numFmtId="0" fontId="5" fillId="7" borderId="1" xfId="0" applyFont="1" applyFill="1" applyBorder="1"/>
    <xf numFmtId="0" fontId="5" fillId="0" borderId="1" xfId="0" applyFont="1" applyFill="1" applyBorder="1" applyAlignment="1">
      <alignment horizontal="center"/>
    </xf>
    <xf numFmtId="0" fontId="5" fillId="0" borderId="1" xfId="0" applyFont="1" applyFill="1" applyBorder="1"/>
    <xf numFmtId="0" fontId="7" fillId="0" borderId="1" xfId="0" applyFont="1" applyFill="1" applyBorder="1"/>
    <xf numFmtId="164" fontId="6" fillId="2" borderId="1" xfId="0" applyNumberFormat="1" applyFont="1" applyFill="1" applyBorder="1"/>
    <xf numFmtId="164" fontId="0" fillId="2" borderId="1" xfId="0" applyNumberFormat="1" applyFont="1" applyFill="1" applyBorder="1"/>
    <xf numFmtId="164" fontId="0" fillId="7" borderId="1" xfId="0" applyNumberFormat="1" applyFont="1" applyFill="1" applyBorder="1"/>
    <xf numFmtId="164" fontId="7" fillId="7" borderId="1" xfId="1" applyNumberFormat="1" applyFont="1" applyFill="1" applyBorder="1"/>
    <xf numFmtId="164" fontId="5" fillId="2" borderId="1" xfId="0" applyNumberFormat="1" applyFont="1" applyFill="1" applyBorder="1"/>
    <xf numFmtId="164" fontId="0" fillId="0" borderId="1" xfId="0" applyNumberFormat="1" applyFont="1" applyFill="1" applyBorder="1"/>
    <xf numFmtId="164" fontId="5" fillId="0" borderId="1" xfId="0" applyNumberFormat="1" applyFont="1" applyFill="1" applyBorder="1"/>
    <xf numFmtId="0" fontId="0" fillId="0" borderId="0" xfId="0" applyFont="1" applyBorder="1" applyAlignment="1">
      <alignment horizontal="center" vertical="center"/>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0" fontId="0" fillId="0" borderId="0" xfId="0" applyFont="1"/>
    <xf numFmtId="0" fontId="5" fillId="0" borderId="0" xfId="0" applyFont="1" applyAlignment="1">
      <alignment vertical="center"/>
    </xf>
    <xf numFmtId="0" fontId="0" fillId="0" borderId="0" xfId="0" applyFont="1" applyAlignment="1"/>
    <xf numFmtId="164" fontId="0" fillId="0" borderId="0" xfId="0" applyNumberFormat="1" applyFont="1"/>
    <xf numFmtId="0" fontId="0" fillId="0" borderId="0" xfId="0" applyFont="1" applyBorder="1"/>
    <xf numFmtId="164" fontId="5" fillId="2" borderId="1" xfId="1" applyNumberFormat="1" applyFont="1" applyFill="1" applyBorder="1" applyAlignment="1">
      <alignment horizontal="left"/>
    </xf>
    <xf numFmtId="164" fontId="0" fillId="2" borderId="1" xfId="1" applyNumberFormat="1" applyFont="1" applyFill="1" applyBorder="1" applyAlignment="1">
      <alignment horizontal="left"/>
    </xf>
    <xf numFmtId="164" fontId="0" fillId="7" borderId="1" xfId="1" applyNumberFormat="1" applyFont="1" applyFill="1" applyBorder="1" applyAlignment="1">
      <alignment horizontal="left"/>
    </xf>
    <xf numFmtId="164" fontId="5" fillId="7" borderId="1" xfId="1" applyNumberFormat="1" applyFont="1" applyFill="1" applyBorder="1" applyAlignment="1">
      <alignment horizontal="left"/>
    </xf>
    <xf numFmtId="164" fontId="5" fillId="0" borderId="1" xfId="1" applyNumberFormat="1" applyFont="1" applyFill="1" applyBorder="1" applyAlignment="1">
      <alignment horizontal="left"/>
    </xf>
    <xf numFmtId="0" fontId="0" fillId="0" borderId="0" xfId="0" applyFont="1" applyFill="1"/>
    <xf numFmtId="164" fontId="0" fillId="0" borderId="1" xfId="1" applyNumberFormat="1" applyFont="1" applyFill="1" applyBorder="1" applyAlignment="1">
      <alignment horizontal="left"/>
    </xf>
    <xf numFmtId="0" fontId="0" fillId="0" borderId="1" xfId="0" applyFont="1" applyBorder="1"/>
    <xf numFmtId="164" fontId="0" fillId="0" borderId="1" xfId="0" applyNumberFormat="1" applyFont="1" applyBorder="1"/>
    <xf numFmtId="0" fontId="5" fillId="2" borderId="0" xfId="0" applyFont="1" applyFill="1" applyAlignment="1">
      <alignment horizontal="left"/>
    </xf>
    <xf numFmtId="0" fontId="7" fillId="2" borderId="0" xfId="0" applyFont="1" applyFill="1" applyAlignment="1">
      <alignment horizontal="left"/>
    </xf>
    <xf numFmtId="164" fontId="0" fillId="0" borderId="0" xfId="0" applyNumberFormat="1" applyFont="1" applyAlignment="1"/>
    <xf numFmtId="0" fontId="7" fillId="2" borderId="0" xfId="0" applyFont="1" applyFill="1" applyAlignment="1">
      <alignment horizontal="left" vertical="center"/>
    </xf>
    <xf numFmtId="0" fontId="7" fillId="2" borderId="0" xfId="0" applyFont="1" applyFill="1" applyAlignment="1">
      <alignment horizontal="left" vertical="center" wrapText="1"/>
    </xf>
    <xf numFmtId="0" fontId="0" fillId="2" borderId="0" xfId="0" applyFont="1" applyFill="1" applyAlignment="1">
      <alignment horizontal="left"/>
    </xf>
    <xf numFmtId="0" fontId="5" fillId="0" borderId="0" xfId="0" applyFont="1" applyAlignment="1">
      <alignment horizontal="center" vertical="center"/>
    </xf>
    <xf numFmtId="0" fontId="0" fillId="0" borderId="0" xfId="0" applyFont="1" applyAlignment="1">
      <alignment horizontal="center"/>
    </xf>
    <xf numFmtId="164" fontId="0" fillId="2" borderId="1" xfId="1" applyNumberFormat="1" applyFont="1" applyFill="1" applyBorder="1"/>
    <xf numFmtId="164" fontId="0" fillId="7" borderId="1" xfId="1" applyNumberFormat="1" applyFont="1" applyFill="1" applyBorder="1"/>
    <xf numFmtId="164" fontId="0" fillId="0" borderId="1" xfId="1" applyNumberFormat="1" applyFont="1" applyFill="1" applyBorder="1"/>
    <xf numFmtId="0" fontId="5" fillId="0" borderId="0" xfId="0" applyFont="1"/>
    <xf numFmtId="0" fontId="7" fillId="0" borderId="0" xfId="0" applyFont="1"/>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0" fontId="3" fillId="4" borderId="0" xfId="0" applyFont="1" applyFill="1" applyAlignment="1">
      <alignment horizontal="center"/>
    </xf>
    <xf numFmtId="0" fontId="4" fillId="5" borderId="1" xfId="2" applyFill="1" applyBorder="1"/>
    <xf numFmtId="0" fontId="4" fillId="6" borderId="1" xfId="2" applyFill="1" applyBorder="1"/>
    <xf numFmtId="0" fontId="9" fillId="2" borderId="0" xfId="0" applyFont="1" applyFill="1" applyAlignment="1">
      <alignment horizontal="center" vertical="center" wrapText="1"/>
    </xf>
    <xf numFmtId="0" fontId="4" fillId="0" borderId="0" xfId="2" applyFont="1" applyBorder="1" applyAlignment="1">
      <alignment horizontal="left" vertical="center" wrapText="1"/>
    </xf>
    <xf numFmtId="17" fontId="2" fillId="3" borderId="1" xfId="0" quotePrefix="1" applyNumberFormat="1" applyFont="1" applyFill="1" applyBorder="1" applyAlignment="1">
      <alignment horizontal="center" wrapText="1"/>
    </xf>
    <xf numFmtId="0" fontId="7" fillId="2" borderId="0" xfId="0" applyFont="1" applyFill="1" applyAlignment="1">
      <alignment horizontal="justify" vertical="center" wrapText="1"/>
    </xf>
    <xf numFmtId="0" fontId="0" fillId="0" borderId="0" xfId="0" applyFont="1" applyAlignment="1">
      <alignment horizontal="center" vertical="center"/>
    </xf>
    <xf numFmtId="0" fontId="0" fillId="0" borderId="0" xfId="0" applyFont="1" applyBorder="1" applyAlignment="1">
      <alignment horizontal="center" vertical="center"/>
    </xf>
    <xf numFmtId="0" fontId="7" fillId="2" borderId="0" xfId="0" applyFont="1" applyFill="1" applyAlignment="1">
      <alignment horizontal="left" vertical="center" wrapText="1"/>
    </xf>
    <xf numFmtId="17" fontId="2" fillId="3" borderId="1" xfId="0" applyNumberFormat="1" applyFont="1" applyFill="1" applyBorder="1" applyAlignment="1">
      <alignment horizontal="center"/>
    </xf>
    <xf numFmtId="0" fontId="2" fillId="3" borderId="1" xfId="0" applyFont="1" applyFill="1" applyBorder="1" applyAlignment="1">
      <alignment horizontal="center"/>
    </xf>
    <xf numFmtId="17" fontId="2" fillId="3" borderId="2" xfId="0" quotePrefix="1" applyNumberFormat="1" applyFont="1" applyFill="1" applyBorder="1" applyAlignment="1">
      <alignment horizontal="center" wrapText="1"/>
    </xf>
    <xf numFmtId="17" fontId="2" fillId="3" borderId="3" xfId="0" quotePrefix="1" applyNumberFormat="1" applyFont="1" applyFill="1" applyBorder="1" applyAlignment="1">
      <alignment horizontal="center" wrapText="1"/>
    </xf>
    <xf numFmtId="17" fontId="2" fillId="3" borderId="2" xfId="0" quotePrefix="1" applyNumberFormat="1" applyFont="1" applyFill="1" applyBorder="1" applyAlignment="1">
      <alignment horizontal="center"/>
    </xf>
    <xf numFmtId="17" fontId="2" fillId="3" borderId="3" xfId="0" quotePrefix="1" applyNumberFormat="1" applyFont="1" applyFill="1" applyBorder="1" applyAlignment="1">
      <alignment horizontal="center"/>
    </xf>
    <xf numFmtId="17" fontId="2" fillId="3" borderId="1" xfId="0" quotePrefix="1" applyNumberFormat="1" applyFont="1" applyFill="1" applyBorder="1" applyAlignment="1">
      <alignment horizontal="center"/>
    </xf>
    <xf numFmtId="0" fontId="0" fillId="2" borderId="0" xfId="0" applyFont="1" applyFill="1" applyBorder="1" applyAlignment="1">
      <alignment horizontal="left"/>
    </xf>
    <xf numFmtId="0" fontId="5" fillId="0" borderId="0" xfId="0" applyFont="1" applyAlignment="1">
      <alignment horizontal="center" vertical="center"/>
    </xf>
  </cellXfs>
  <cellStyles count="5">
    <cellStyle name="Hipervínculo" xfId="2" builtinId="8"/>
    <cellStyle name="Millares" xfId="1" builtinId="3"/>
    <cellStyle name="Millares 2" xfId="3"/>
    <cellStyle name="Normal" xfId="0" builtinId="0"/>
    <cellStyle name="TableStyleLight1" xfId="4"/>
  </cellStyles>
  <dxfs count="0"/>
  <tableStyles count="0" defaultTableStyle="TableStyleMedium9" defaultPivotStyle="PivotStyleLight16"/>
  <colors>
    <mruColors>
      <color rgb="FFFFFF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99060</xdr:rowOff>
    </xdr:from>
    <xdr:to>
      <xdr:col>4</xdr:col>
      <xdr:colOff>304817</xdr:colOff>
      <xdr:row>5</xdr:row>
      <xdr:rowOff>110067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0" y="99060"/>
          <a:ext cx="2164097" cy="9482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50799</xdr:colOff>
      <xdr:row>1</xdr:row>
      <xdr:rowOff>16933</xdr:rowOff>
    </xdr:from>
    <xdr:to>
      <xdr:col>2</xdr:col>
      <xdr:colOff>1867762</xdr:colOff>
      <xdr:row>6</xdr:row>
      <xdr:rowOff>33867</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2" y="67733"/>
          <a:ext cx="2164097" cy="9482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1</xdr:row>
      <xdr:rowOff>16933</xdr:rowOff>
    </xdr:from>
    <xdr:to>
      <xdr:col>2</xdr:col>
      <xdr:colOff>1723830</xdr:colOff>
      <xdr:row>6</xdr:row>
      <xdr:rowOff>33867</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67733"/>
          <a:ext cx="2164097" cy="9482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jose.iza\Downloads\Estado-de-Situaci&#243;n%2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Sit. FSD"/>
      <sheetName val="Est. Sit. FSDSFPS"/>
    </sheetNames>
    <sheetDataSet>
      <sheetData sheetId="0"/>
      <sheetData sheetId="1">
        <row r="5">
          <cell r="A5">
            <v>1</v>
          </cell>
          <cell r="B5" t="str">
            <v>Total Activo</v>
          </cell>
          <cell r="C5">
            <v>75694617.239999995</v>
          </cell>
          <cell r="D5">
            <v>79723219.170000002</v>
          </cell>
          <cell r="E5">
            <v>79806080.910000011</v>
          </cell>
          <cell r="F5">
            <v>95610099.170000002</v>
          </cell>
          <cell r="G5">
            <v>95714932.61999999</v>
          </cell>
          <cell r="H5">
            <v>98472872.400000006</v>
          </cell>
          <cell r="I5">
            <v>103986911.31</v>
          </cell>
          <cell r="J5">
            <v>104012072.56999999</v>
          </cell>
          <cell r="K5">
            <v>106938875.83</v>
          </cell>
          <cell r="L5">
            <v>112459852.08</v>
          </cell>
          <cell r="M5">
            <v>115579221.75</v>
          </cell>
          <cell r="N5">
            <v>118634327.45999998</v>
          </cell>
          <cell r="O5">
            <v>121572768.45</v>
          </cell>
          <cell r="P5">
            <v>124656716.5</v>
          </cell>
          <cell r="Q5">
            <v>127632785.41</v>
          </cell>
          <cell r="R5">
            <v>130736326.70999999</v>
          </cell>
          <cell r="S5">
            <v>134053247.17999999</v>
          </cell>
          <cell r="T5">
            <v>137066657.74000001</v>
          </cell>
          <cell r="U5">
            <v>140181908.50999999</v>
          </cell>
          <cell r="V5">
            <v>143294890.78999999</v>
          </cell>
          <cell r="W5">
            <v>146388501.06999999</v>
          </cell>
          <cell r="X5">
            <v>149429126.06999999</v>
          </cell>
          <cell r="Y5">
            <v>152465855.95000002</v>
          </cell>
          <cell r="Z5">
            <v>155335758.05000001</v>
          </cell>
          <cell r="AA5">
            <v>158447574.49000001</v>
          </cell>
          <cell r="AB5">
            <v>161690839.91000003</v>
          </cell>
          <cell r="AC5">
            <v>164902419.65000004</v>
          </cell>
          <cell r="AD5">
            <v>168181781.59999999</v>
          </cell>
          <cell r="AE5">
            <v>201850212.95000002</v>
          </cell>
          <cell r="AF5">
            <v>205372629.17000002</v>
          </cell>
          <cell r="AG5">
            <v>181978452.21000001</v>
          </cell>
          <cell r="AH5">
            <v>214610262.59999999</v>
          </cell>
          <cell r="AI5">
            <v>214901164.97</v>
          </cell>
          <cell r="AJ5">
            <v>214676348.98000002</v>
          </cell>
          <cell r="AK5">
            <v>217249183.17000002</v>
          </cell>
          <cell r="AL5">
            <v>259827383.30000001</v>
          </cell>
          <cell r="AM5">
            <v>264086859.29999998</v>
          </cell>
          <cell r="AN5">
            <v>266633964.98000002</v>
          </cell>
          <cell r="AO5">
            <v>269043051.88999999</v>
          </cell>
          <cell r="AP5">
            <v>272137853.57999998</v>
          </cell>
          <cell r="AQ5">
            <v>274908285.5</v>
          </cell>
          <cell r="AR5">
            <v>278572855.58999997</v>
          </cell>
          <cell r="AS5">
            <v>282202528.94999999</v>
          </cell>
          <cell r="AT5">
            <v>286524953</v>
          </cell>
          <cell r="AU5">
            <v>289778859.35000002</v>
          </cell>
          <cell r="AV5">
            <v>293312151.29000002</v>
          </cell>
          <cell r="AW5">
            <v>292411495.62000006</v>
          </cell>
          <cell r="AX5">
            <v>301087335.12</v>
          </cell>
          <cell r="AY5">
            <v>305655504.00000006</v>
          </cell>
          <cell r="AZ5">
            <v>309181508.84000003</v>
          </cell>
          <cell r="BA5">
            <v>313378238.68000001</v>
          </cell>
          <cell r="BB5">
            <v>317940981.86000001</v>
          </cell>
          <cell r="BC5">
            <v>322323786.63</v>
          </cell>
          <cell r="BD5">
            <v>326816412.20999998</v>
          </cell>
          <cell r="BE5">
            <v>331282667.15999997</v>
          </cell>
          <cell r="BF5">
            <v>330892799.03999996</v>
          </cell>
          <cell r="BG5">
            <v>340992914.88000005</v>
          </cell>
          <cell r="BH5">
            <v>341192900.28000003</v>
          </cell>
          <cell r="BI5">
            <v>346492151.37</v>
          </cell>
          <cell r="BJ5">
            <v>357213236.59999996</v>
          </cell>
          <cell r="BK5">
            <v>357308663.92000002</v>
          </cell>
          <cell r="BL5">
            <v>362899379.47000003</v>
          </cell>
          <cell r="BM5">
            <v>368723823.51000005</v>
          </cell>
          <cell r="BN5">
            <v>376802763.55000007</v>
          </cell>
          <cell r="BO5">
            <v>383281984.93000001</v>
          </cell>
          <cell r="BP5">
            <v>390663239.88999999</v>
          </cell>
          <cell r="BQ5">
            <v>396310471.62</v>
          </cell>
          <cell r="BR5">
            <v>403040290.20999998</v>
          </cell>
          <cell r="BS5">
            <v>415042205.56999999</v>
          </cell>
          <cell r="BT5">
            <v>415622506.06999993</v>
          </cell>
          <cell r="BU5">
            <v>423514770.05000001</v>
          </cell>
          <cell r="BV5">
            <v>435752673.80000001</v>
          </cell>
          <cell r="BW5">
            <v>436722203.72000003</v>
          </cell>
          <cell r="BX5">
            <v>437478383.63999999</v>
          </cell>
          <cell r="BY5">
            <v>438068453.02000004</v>
          </cell>
          <cell r="BZ5">
            <v>458735735.06</v>
          </cell>
          <cell r="CA5">
            <v>471037791.49000001</v>
          </cell>
          <cell r="CB5">
            <v>472416709.58000004</v>
          </cell>
          <cell r="CC5">
            <v>484956536.38</v>
          </cell>
          <cell r="CD5">
            <v>492224767.5</v>
          </cell>
          <cell r="CE5">
            <v>500502369.75999999</v>
          </cell>
          <cell r="CF5">
            <v>501142490.78000003</v>
          </cell>
          <cell r="CG5">
            <v>501636957.24000001</v>
          </cell>
          <cell r="CH5">
            <v>502799272.09000003</v>
          </cell>
          <cell r="CI5">
            <v>526333558.16999996</v>
          </cell>
          <cell r="CJ5">
            <v>535406745.13999999</v>
          </cell>
          <cell r="CK5">
            <v>549631676.08000004</v>
          </cell>
          <cell r="CL5">
            <v>551858270.17000008</v>
          </cell>
        </row>
        <row r="6">
          <cell r="A6" t="str">
            <v>1.1</v>
          </cell>
          <cell r="B6" t="str">
            <v>Fondos Disponibles</v>
          </cell>
          <cell r="C6">
            <v>15007142.810000001</v>
          </cell>
          <cell r="D6">
            <v>18891521.699999999</v>
          </cell>
          <cell r="E6">
            <v>18220143.780000001</v>
          </cell>
          <cell r="F6">
            <v>33928404.399999999</v>
          </cell>
          <cell r="G6">
            <v>29727727.039999999</v>
          </cell>
          <cell r="H6">
            <v>42469579.93</v>
          </cell>
          <cell r="I6">
            <v>80368216.260000005</v>
          </cell>
          <cell r="J6">
            <v>69824786.629999995</v>
          </cell>
          <cell r="K6">
            <v>72529604.409999996</v>
          </cell>
          <cell r="L6">
            <v>77945369.5</v>
          </cell>
          <cell r="M6">
            <v>66081821.079999998</v>
          </cell>
          <cell r="N6">
            <v>58407429.229999997</v>
          </cell>
          <cell r="O6">
            <v>40890248.450000003</v>
          </cell>
          <cell r="P6">
            <v>43824354.490000002</v>
          </cell>
          <cell r="Q6">
            <v>26324407.390000001</v>
          </cell>
          <cell r="R6">
            <v>54347630.43</v>
          </cell>
          <cell r="S6">
            <v>72674335.969999999</v>
          </cell>
          <cell r="T6">
            <v>66537491.280000001</v>
          </cell>
          <cell r="U6">
            <v>71383123.379999995</v>
          </cell>
          <cell r="V6">
            <v>74430771.920000002</v>
          </cell>
          <cell r="W6">
            <v>77467321.530000001</v>
          </cell>
          <cell r="X6">
            <v>80585337.430000007</v>
          </cell>
          <cell r="Y6">
            <v>83508125.180000007</v>
          </cell>
          <cell r="Z6">
            <v>41582043.619999997</v>
          </cell>
          <cell r="AA6">
            <v>26552664.399999999</v>
          </cell>
          <cell r="AB6">
            <v>15962509.470000001</v>
          </cell>
          <cell r="AC6">
            <v>19126463.800000001</v>
          </cell>
          <cell r="AD6">
            <v>22521575.010000002</v>
          </cell>
          <cell r="AE6">
            <v>55593736.490000002</v>
          </cell>
          <cell r="AF6">
            <v>58440405.640000001</v>
          </cell>
          <cell r="AG6">
            <v>71891692.219999999</v>
          </cell>
          <cell r="AH6">
            <v>75204688.349999994</v>
          </cell>
          <cell r="AI6">
            <v>79053092.989999995</v>
          </cell>
          <cell r="AJ6">
            <v>63363549.119999997</v>
          </cell>
          <cell r="AK6">
            <v>67377901.159999996</v>
          </cell>
          <cell r="AL6">
            <v>70706900.320000008</v>
          </cell>
          <cell r="AM6">
            <v>75562349.060000002</v>
          </cell>
          <cell r="AN6">
            <v>78854812.040000007</v>
          </cell>
          <cell r="AO6">
            <v>78617310.539999992</v>
          </cell>
          <cell r="AP6">
            <v>84053024.780000001</v>
          </cell>
          <cell r="AQ6">
            <v>88033612.439999998</v>
          </cell>
          <cell r="AR6">
            <v>68302254.939999998</v>
          </cell>
          <cell r="AS6">
            <v>72553321.620000005</v>
          </cell>
          <cell r="AT6">
            <v>80284073.939999998</v>
          </cell>
          <cell r="AU6">
            <v>87023170.290000007</v>
          </cell>
          <cell r="AV6">
            <v>91742258.810000002</v>
          </cell>
          <cell r="AW6">
            <v>91756830.49000001</v>
          </cell>
          <cell r="AX6">
            <v>108750185.25</v>
          </cell>
          <cell r="AY6">
            <v>111824857.13</v>
          </cell>
          <cell r="AZ6">
            <v>114569319.34</v>
          </cell>
          <cell r="BA6">
            <v>117087929.42</v>
          </cell>
          <cell r="BB6">
            <v>121764849.67</v>
          </cell>
          <cell r="BC6">
            <v>125108842.3</v>
          </cell>
          <cell r="BD6">
            <v>131536468.08999999</v>
          </cell>
          <cell r="BE6">
            <v>137414503.13</v>
          </cell>
          <cell r="BF6">
            <v>137633398.91999999</v>
          </cell>
          <cell r="BG6">
            <v>149327416.69</v>
          </cell>
          <cell r="BH6">
            <v>124364528.56999999</v>
          </cell>
          <cell r="BI6">
            <v>129110680.61999999</v>
          </cell>
          <cell r="BJ6">
            <v>145774142.47999999</v>
          </cell>
          <cell r="BK6">
            <v>125865738.56999999</v>
          </cell>
          <cell r="BL6">
            <v>129295920.67</v>
          </cell>
          <cell r="BM6">
            <v>134711078.40000001</v>
          </cell>
          <cell r="BN6">
            <v>142150080.91000003</v>
          </cell>
          <cell r="BO6">
            <v>152548735.75</v>
          </cell>
          <cell r="BP6">
            <v>57174898.829999998</v>
          </cell>
          <cell r="BQ6">
            <v>169453943.08000001</v>
          </cell>
          <cell r="BR6">
            <v>136324362.97999999</v>
          </cell>
          <cell r="BS6">
            <v>140562260.58000001</v>
          </cell>
          <cell r="BT6">
            <v>174419141.28999999</v>
          </cell>
          <cell r="BU6">
            <v>87818778.450000003</v>
          </cell>
          <cell r="BV6">
            <v>85577666.359999999</v>
          </cell>
          <cell r="BW6">
            <v>68059570.620000005</v>
          </cell>
          <cell r="BX6">
            <v>137110323.73000002</v>
          </cell>
          <cell r="BY6">
            <v>147121650.46000001</v>
          </cell>
          <cell r="BZ6">
            <v>169278749.94999999</v>
          </cell>
          <cell r="CA6">
            <v>151309626.78</v>
          </cell>
          <cell r="CB6">
            <v>111972396.04000001</v>
          </cell>
          <cell r="CC6">
            <v>183580309.5</v>
          </cell>
          <cell r="CD6">
            <v>140843259.75999999</v>
          </cell>
          <cell r="CE6">
            <v>140626030</v>
          </cell>
          <cell r="CF6">
            <v>122495857.67</v>
          </cell>
          <cell r="CG6">
            <v>127820234.03999999</v>
          </cell>
          <cell r="CH6">
            <v>106163936.8</v>
          </cell>
          <cell r="CI6">
            <v>127939991.01000001</v>
          </cell>
          <cell r="CJ6">
            <v>136666262.28999999</v>
          </cell>
          <cell r="CK6">
            <v>150704724.99000001</v>
          </cell>
          <cell r="CL6">
            <v>132739231.23999999</v>
          </cell>
        </row>
        <row r="7">
          <cell r="A7" t="str">
            <v>1.2</v>
          </cell>
          <cell r="B7" t="str">
            <v>Inversiones</v>
          </cell>
          <cell r="C7">
            <v>60120081.130000003</v>
          </cell>
          <cell r="D7">
            <v>60203481.189999998</v>
          </cell>
          <cell r="E7">
            <v>60286165.590000004</v>
          </cell>
          <cell r="F7">
            <v>60374132.969999999</v>
          </cell>
          <cell r="G7">
            <v>64669994.810000002</v>
          </cell>
          <cell r="H7">
            <v>54686729.32</v>
          </cell>
          <cell r="I7">
            <v>12020460</v>
          </cell>
          <cell r="J7">
            <v>22060127.52</v>
          </cell>
          <cell r="K7">
            <v>22085004.649999999</v>
          </cell>
          <cell r="L7">
            <v>22128729.030000001</v>
          </cell>
          <cell r="M7">
            <v>32128729.030000001</v>
          </cell>
          <cell r="N7">
            <v>42673163.939999998</v>
          </cell>
          <cell r="O7">
            <v>62752243.530000001</v>
          </cell>
          <cell r="P7">
            <v>62850921.82</v>
          </cell>
          <cell r="Q7">
            <v>82907101.730000004</v>
          </cell>
          <cell r="R7">
            <v>57993172.549999997</v>
          </cell>
          <cell r="S7">
            <v>42927980.509999998</v>
          </cell>
          <cell r="T7">
            <v>43404651.390000001</v>
          </cell>
          <cell r="U7">
            <v>42904651.390000001</v>
          </cell>
          <cell r="V7">
            <v>42904651.390000001</v>
          </cell>
          <cell r="W7">
            <v>42904651.390000001</v>
          </cell>
          <cell r="X7">
            <v>42904651.390000001</v>
          </cell>
          <cell r="Y7">
            <v>42904651.390000001</v>
          </cell>
          <cell r="Z7">
            <v>87709604.650000006</v>
          </cell>
          <cell r="AA7">
            <v>105754650.26000001</v>
          </cell>
          <cell r="AB7">
            <v>119382060.61</v>
          </cell>
          <cell r="AC7">
            <v>119507528.68000001</v>
          </cell>
          <cell r="AD7">
            <v>119311419.95999999</v>
          </cell>
          <cell r="AE7">
            <v>119216086.5</v>
          </cell>
          <cell r="AF7">
            <v>119202198.98</v>
          </cell>
          <cell r="AG7">
            <v>109531199.2</v>
          </cell>
          <cell r="AH7">
            <v>109653277.72</v>
          </cell>
          <cell r="AI7">
            <v>109779943.39</v>
          </cell>
          <cell r="AJ7">
            <v>129732121.19</v>
          </cell>
          <cell r="AK7">
            <v>129554454.37</v>
          </cell>
          <cell r="AL7">
            <v>169510802.24000001</v>
          </cell>
          <cell r="AM7">
            <v>169455596.41999999</v>
          </cell>
          <cell r="AN7">
            <v>169579192.38999999</v>
          </cell>
          <cell r="AO7">
            <v>170149155.13999999</v>
          </cell>
          <cell r="AP7">
            <v>170274484.16999999</v>
          </cell>
          <cell r="AQ7">
            <v>170132982.37</v>
          </cell>
          <cell r="AR7">
            <v>195257854.75999999</v>
          </cell>
          <cell r="AS7">
            <v>195380596.15000001</v>
          </cell>
          <cell r="AT7">
            <v>190465854.19</v>
          </cell>
          <cell r="AU7">
            <v>185413582.38</v>
          </cell>
          <cell r="AV7">
            <v>185715047.86000001</v>
          </cell>
          <cell r="AW7">
            <v>185562764.72</v>
          </cell>
          <cell r="AX7">
            <v>179172733.55000001</v>
          </cell>
          <cell r="AY7">
            <v>179301876.46000001</v>
          </cell>
          <cell r="AZ7">
            <v>180801649.63999999</v>
          </cell>
          <cell r="BA7">
            <v>183776401.44</v>
          </cell>
          <cell r="BB7">
            <v>184569831.50999999</v>
          </cell>
          <cell r="BC7">
            <v>186363457.08000001</v>
          </cell>
          <cell r="BD7">
            <v>186337950.59</v>
          </cell>
          <cell r="BE7">
            <v>186485333</v>
          </cell>
          <cell r="BF7">
            <v>186628643.36000001</v>
          </cell>
          <cell r="BG7">
            <v>185193594.40000001</v>
          </cell>
          <cell r="BH7">
            <v>210320101.41999999</v>
          </cell>
          <cell r="BI7">
            <v>210939722.25</v>
          </cell>
          <cell r="BJ7">
            <v>206563268.80000001</v>
          </cell>
          <cell r="BK7">
            <v>226805291.16</v>
          </cell>
          <cell r="BL7">
            <v>228874618.88</v>
          </cell>
          <cell r="BM7">
            <v>229361761.56999999</v>
          </cell>
          <cell r="BN7">
            <v>230775971.28</v>
          </cell>
          <cell r="BO7">
            <v>228394988.27000001</v>
          </cell>
          <cell r="BP7">
            <v>330940272.54000002</v>
          </cell>
          <cell r="BQ7">
            <v>224155828.09</v>
          </cell>
          <cell r="BR7">
            <v>263826951.65000001</v>
          </cell>
          <cell r="BS7">
            <v>271269548.43000001</v>
          </cell>
          <cell r="BT7">
            <v>234948311.50999999</v>
          </cell>
          <cell r="BU7">
            <v>329282587.43000001</v>
          </cell>
          <cell r="BV7">
            <v>343617217.45999998</v>
          </cell>
          <cell r="BW7">
            <v>362329077.37</v>
          </cell>
          <cell r="BX7">
            <v>293721807.76999998</v>
          </cell>
          <cell r="BY7">
            <v>283967656.64999998</v>
          </cell>
          <cell r="BZ7">
            <v>282781246.24000001</v>
          </cell>
          <cell r="CA7">
            <v>312583179.57999998</v>
          </cell>
          <cell r="CB7">
            <v>353583889.80000001</v>
          </cell>
          <cell r="CC7">
            <v>294536425.88</v>
          </cell>
          <cell r="CD7">
            <v>344304441.51999998</v>
          </cell>
          <cell r="CE7">
            <v>352383182.19999999</v>
          </cell>
          <cell r="CF7">
            <v>372522138.88</v>
          </cell>
          <cell r="CG7">
            <v>368372603.44</v>
          </cell>
          <cell r="CH7">
            <v>391822769.5</v>
          </cell>
          <cell r="CI7">
            <v>394474345.50999999</v>
          </cell>
          <cell r="CJ7">
            <v>394431166.81999999</v>
          </cell>
          <cell r="CK7">
            <v>393859637.86000001</v>
          </cell>
          <cell r="CL7">
            <v>414052888.48000002</v>
          </cell>
        </row>
        <row r="8">
          <cell r="A8" t="str">
            <v>1.3</v>
          </cell>
          <cell r="B8" t="str">
            <v>Cuentas por cobrar</v>
          </cell>
          <cell r="C8">
            <v>567393.30000000005</v>
          </cell>
          <cell r="D8">
            <v>628216.28</v>
          </cell>
          <cell r="E8">
            <v>1299771.54</v>
          </cell>
          <cell r="F8">
            <v>1307561.8</v>
          </cell>
          <cell r="G8">
            <v>1317210.77</v>
          </cell>
          <cell r="H8">
            <v>1316563.1499999999</v>
          </cell>
          <cell r="I8">
            <v>11598235.050000001</v>
          </cell>
          <cell r="J8">
            <v>12127158.42</v>
          </cell>
          <cell r="K8">
            <v>12324266.77</v>
          </cell>
          <cell r="L8">
            <v>12385753.550000001</v>
          </cell>
          <cell r="M8">
            <v>17368671.640000001</v>
          </cell>
          <cell r="N8">
            <v>17553734.289999999</v>
          </cell>
          <cell r="O8">
            <v>17930276.469999999</v>
          </cell>
          <cell r="P8">
            <v>17981440.190000001</v>
          </cell>
          <cell r="Q8">
            <v>18401276.289999999</v>
          </cell>
          <cell r="R8">
            <v>18395523.73</v>
          </cell>
          <cell r="S8">
            <v>18450930.699999999</v>
          </cell>
          <cell r="T8">
            <v>27124515.07</v>
          </cell>
          <cell r="U8">
            <v>25894133.739999998</v>
          </cell>
          <cell r="V8">
            <v>25959467.48</v>
          </cell>
          <cell r="W8">
            <v>26016528.149999999</v>
          </cell>
          <cell r="X8">
            <v>25939137.25</v>
          </cell>
          <cell r="Y8">
            <v>26053079.379999999</v>
          </cell>
          <cell r="Z8">
            <v>26044109.780000001</v>
          </cell>
          <cell r="AA8">
            <v>26140259.829999998</v>
          </cell>
          <cell r="AB8">
            <v>26346269.829999998</v>
          </cell>
          <cell r="AC8">
            <v>26268427.170000002</v>
          </cell>
          <cell r="AD8">
            <v>26348786.629999999</v>
          </cell>
          <cell r="AE8">
            <v>27040389.960000001</v>
          </cell>
          <cell r="AF8">
            <v>27730024.550000001</v>
          </cell>
          <cell r="AG8">
            <v>555560.79</v>
          </cell>
          <cell r="AH8">
            <v>29752296.529999997</v>
          </cell>
          <cell r="AI8">
            <v>26068128.59</v>
          </cell>
          <cell r="AJ8">
            <v>21580678.670000002</v>
          </cell>
          <cell r="AK8">
            <v>20316827.640000001</v>
          </cell>
          <cell r="AL8">
            <v>19609680.739999998</v>
          </cell>
          <cell r="AM8">
            <v>19068913.82</v>
          </cell>
          <cell r="AN8">
            <v>18199960.550000001</v>
          </cell>
          <cell r="AO8">
            <v>20276586.210000001</v>
          </cell>
          <cell r="AP8">
            <v>17810344.629999999</v>
          </cell>
          <cell r="AQ8">
            <v>16741690.689999999</v>
          </cell>
          <cell r="AR8">
            <v>15012745.890000001</v>
          </cell>
          <cell r="AS8">
            <v>14268611.18</v>
          </cell>
          <cell r="AT8">
            <v>15775024.869999999</v>
          </cell>
          <cell r="AU8">
            <v>17342106.68</v>
          </cell>
          <cell r="AV8">
            <v>15854844.619999999</v>
          </cell>
          <cell r="AW8">
            <v>15091900.41</v>
          </cell>
          <cell r="AX8">
            <v>13164416.32</v>
          </cell>
          <cell r="AY8">
            <v>14528770.41</v>
          </cell>
          <cell r="AZ8">
            <v>13810539.859999999</v>
          </cell>
          <cell r="BA8">
            <v>12513907.82</v>
          </cell>
          <cell r="BB8">
            <v>11606300.68</v>
          </cell>
          <cell r="BC8">
            <v>10851487.25</v>
          </cell>
          <cell r="BD8">
            <v>8941993.5299999993</v>
          </cell>
          <cell r="BE8">
            <v>7382831.0300000003</v>
          </cell>
          <cell r="BF8">
            <v>6630756.7599999998</v>
          </cell>
          <cell r="BG8">
            <v>6471903.79</v>
          </cell>
          <cell r="BH8">
            <v>6508270.29</v>
          </cell>
          <cell r="BI8">
            <v>6441748.5</v>
          </cell>
          <cell r="BJ8">
            <v>4875825.32</v>
          </cell>
          <cell r="BK8">
            <v>4637634.1900000004</v>
          </cell>
          <cell r="BL8">
            <v>4728839.92</v>
          </cell>
          <cell r="BM8">
            <v>4650983.54</v>
          </cell>
          <cell r="BN8">
            <v>3876711.36</v>
          </cell>
          <cell r="BO8">
            <v>2338260.91</v>
          </cell>
          <cell r="BP8">
            <v>2548068.52</v>
          </cell>
          <cell r="BQ8">
            <v>2700700.45</v>
          </cell>
          <cell r="BR8">
            <v>2888975.58</v>
          </cell>
          <cell r="BS8">
            <v>3210396.56</v>
          </cell>
          <cell r="BT8">
            <v>6255053.2699999996</v>
          </cell>
          <cell r="BU8">
            <v>6413404.1699999999</v>
          </cell>
          <cell r="BV8">
            <v>6557789.9800000004</v>
          </cell>
          <cell r="BW8">
            <v>6333555.7299999995</v>
          </cell>
          <cell r="BX8">
            <v>6646252.1400000006</v>
          </cell>
          <cell r="BY8">
            <v>6979145.9100000001</v>
          </cell>
          <cell r="BZ8">
            <v>6675738.8700000001</v>
          </cell>
          <cell r="CA8">
            <v>7144985.1299999999</v>
          </cell>
          <cell r="CB8">
            <v>6860423.7400000002</v>
          </cell>
          <cell r="CC8">
            <v>6839801</v>
          </cell>
          <cell r="CD8">
            <v>7077066.2199999997</v>
          </cell>
          <cell r="CE8">
            <v>7493157.5599999996</v>
          </cell>
          <cell r="CF8">
            <v>6124494.2300000004</v>
          </cell>
          <cell r="CG8">
            <v>5444119.7599999998</v>
          </cell>
          <cell r="CH8">
            <v>4812565.79</v>
          </cell>
          <cell r="CI8">
            <v>3919221.65</v>
          </cell>
          <cell r="CJ8">
            <v>4309316.03</v>
          </cell>
          <cell r="CK8">
            <v>5067313.2300000004</v>
          </cell>
          <cell r="CL8">
            <v>5066150.45</v>
          </cell>
        </row>
        <row r="9">
          <cell r="A9">
            <v>4</v>
          </cell>
          <cell r="B9" t="str">
            <v>Gastos</v>
          </cell>
          <cell r="AF9">
            <v>39698.51</v>
          </cell>
          <cell r="AG9">
            <v>64360.01</v>
          </cell>
          <cell r="AH9">
            <v>87674.46</v>
          </cell>
          <cell r="AI9">
            <v>4278237.04</v>
          </cell>
          <cell r="AJ9">
            <v>4127198.72</v>
          </cell>
          <cell r="AK9">
            <v>5937636.8099999996</v>
          </cell>
          <cell r="AL9">
            <v>7811620.3899999997</v>
          </cell>
          <cell r="AM9">
            <v>9529206.2899999991</v>
          </cell>
          <cell r="AN9">
            <v>11410516.49</v>
          </cell>
          <cell r="AO9">
            <v>13588449.470000001</v>
          </cell>
          <cell r="AP9">
            <v>15650018.93</v>
          </cell>
          <cell r="AQ9">
            <v>17790292.48</v>
          </cell>
          <cell r="AR9">
            <v>18961852.48</v>
          </cell>
          <cell r="AS9">
            <v>20137923.370000001</v>
          </cell>
          <cell r="AT9">
            <v>21433746.100000001</v>
          </cell>
          <cell r="AV9">
            <v>1437082.64</v>
          </cell>
          <cell r="AW9">
            <v>2841758.55</v>
          </cell>
          <cell r="AX9">
            <v>4253507.47</v>
          </cell>
          <cell r="AY9">
            <v>5667731.79</v>
          </cell>
          <cell r="AZ9">
            <v>7076721.8499999996</v>
          </cell>
          <cell r="BA9">
            <v>8474543.5399999991</v>
          </cell>
          <cell r="BB9">
            <v>9756306.7799999993</v>
          </cell>
          <cell r="BC9">
            <v>11033472.34</v>
          </cell>
          <cell r="BD9">
            <v>12279357.049999999</v>
          </cell>
          <cell r="BE9">
            <v>13519173.469999999</v>
          </cell>
          <cell r="BF9">
            <v>14774261.119999999</v>
          </cell>
          <cell r="BG9">
            <v>0</v>
          </cell>
          <cell r="BH9">
            <v>683997.35</v>
          </cell>
          <cell r="BI9">
            <v>1354078.74</v>
          </cell>
          <cell r="BJ9">
            <v>2044848.31</v>
          </cell>
          <cell r="BK9">
            <v>2711959.56</v>
          </cell>
          <cell r="BL9">
            <v>3411284.06</v>
          </cell>
          <cell r="BM9">
            <v>3901721.1999999997</v>
          </cell>
          <cell r="BN9">
            <v>4392756.4499999993</v>
          </cell>
          <cell r="BO9">
            <v>4690957.6500000004</v>
          </cell>
          <cell r="BP9">
            <v>4703940.99</v>
          </cell>
          <cell r="BQ9">
            <v>4921202.51</v>
          </cell>
          <cell r="BR9">
            <v>5194092.43</v>
          </cell>
          <cell r="BS9">
            <v>0</v>
          </cell>
          <cell r="BT9">
            <v>298568.83</v>
          </cell>
          <cell r="BU9">
            <v>611543.37</v>
          </cell>
          <cell r="BV9">
            <v>925325.68</v>
          </cell>
          <cell r="BW9">
            <v>1255862.06</v>
          </cell>
          <cell r="BX9">
            <v>1635107.01</v>
          </cell>
          <cell r="BY9">
            <v>1947127</v>
          </cell>
          <cell r="BZ9">
            <v>2264932.39</v>
          </cell>
          <cell r="CA9">
            <v>2576435.61</v>
          </cell>
          <cell r="CB9">
            <v>2905191.81</v>
          </cell>
          <cell r="CC9">
            <v>3210166.47</v>
          </cell>
          <cell r="CD9">
            <v>3516272.19</v>
          </cell>
          <cell r="CE9">
            <v>0</v>
          </cell>
          <cell r="CF9">
            <v>322938.48</v>
          </cell>
          <cell r="CG9">
            <v>688464.38</v>
          </cell>
          <cell r="CH9">
            <v>1018118.83</v>
          </cell>
          <cell r="CI9">
            <v>1298506.3400000001</v>
          </cell>
          <cell r="CJ9">
            <v>1594490.15</v>
          </cell>
          <cell r="CK9">
            <v>1892974.2</v>
          </cell>
          <cell r="CL9">
            <v>2174583.41</v>
          </cell>
        </row>
        <row r="11">
          <cell r="B11" t="str">
            <v>TOTAL ACTIVO Y GASTOS</v>
          </cell>
          <cell r="AF11">
            <v>205412327.68000001</v>
          </cell>
          <cell r="AG11">
            <v>182042812.22</v>
          </cell>
          <cell r="AH11">
            <v>214697937.06</v>
          </cell>
          <cell r="AI11">
            <v>219179402.00999999</v>
          </cell>
          <cell r="AJ11">
            <v>218803547.70000002</v>
          </cell>
          <cell r="AK11">
            <v>223186819.98000002</v>
          </cell>
          <cell r="AL11">
            <v>267639003.69</v>
          </cell>
          <cell r="AM11">
            <v>273616065.58999997</v>
          </cell>
          <cell r="AN11">
            <v>278044481.47000003</v>
          </cell>
          <cell r="AO11">
            <v>282631501.36000001</v>
          </cell>
          <cell r="AP11">
            <v>287787872.50999999</v>
          </cell>
          <cell r="AQ11">
            <v>292698577.98000002</v>
          </cell>
          <cell r="AR11">
            <v>297534708.06999999</v>
          </cell>
          <cell r="AS11">
            <v>302340452.31999999</v>
          </cell>
          <cell r="AT11">
            <v>307958699.10000002</v>
          </cell>
          <cell r="AU11">
            <v>289778859.35000002</v>
          </cell>
          <cell r="AV11">
            <v>294749233.93000001</v>
          </cell>
          <cell r="AW11">
            <v>295253254.17000008</v>
          </cell>
          <cell r="AX11">
            <v>305340842.59000003</v>
          </cell>
          <cell r="AY11">
            <v>311323235.79000008</v>
          </cell>
          <cell r="AZ11">
            <v>316258230.69000006</v>
          </cell>
          <cell r="BA11">
            <v>321852782.22000003</v>
          </cell>
          <cell r="BB11">
            <v>327697288.63999999</v>
          </cell>
          <cell r="BC11">
            <v>333357258.96999997</v>
          </cell>
          <cell r="BD11">
            <v>339095769.25999999</v>
          </cell>
          <cell r="BE11">
            <v>344801840.63</v>
          </cell>
          <cell r="BF11">
            <v>345667060.15999997</v>
          </cell>
          <cell r="BG11">
            <v>340992914.88000005</v>
          </cell>
          <cell r="BH11">
            <v>341876897.63000005</v>
          </cell>
          <cell r="BI11">
            <v>347846230.11000001</v>
          </cell>
          <cell r="BJ11">
            <v>359258084.90999997</v>
          </cell>
          <cell r="BK11">
            <v>360020623.48000002</v>
          </cell>
          <cell r="BL11">
            <v>366310663.53000003</v>
          </cell>
          <cell r="BM11">
            <v>372625544.71000004</v>
          </cell>
          <cell r="BN11">
            <v>381195520.00000006</v>
          </cell>
          <cell r="BO11">
            <v>387972942.57999998</v>
          </cell>
          <cell r="BP11">
            <v>395367180.88</v>
          </cell>
          <cell r="BQ11">
            <v>401231674.13</v>
          </cell>
          <cell r="BR11">
            <v>408234382.63999999</v>
          </cell>
          <cell r="BS11">
            <v>415042205.56999999</v>
          </cell>
          <cell r="BT11">
            <v>415921074.89999992</v>
          </cell>
          <cell r="BU11">
            <v>424126313.42000002</v>
          </cell>
          <cell r="BV11">
            <v>436677999.48000002</v>
          </cell>
          <cell r="BW11">
            <v>437978065.78000003</v>
          </cell>
          <cell r="BX11">
            <v>439113490.64999998</v>
          </cell>
          <cell r="BY11">
            <v>440015580.02000004</v>
          </cell>
          <cell r="BZ11">
            <v>461000667.44999999</v>
          </cell>
          <cell r="CA11">
            <v>473614227.10000002</v>
          </cell>
          <cell r="CB11">
            <v>475321901.39000005</v>
          </cell>
          <cell r="CC11">
            <v>488166702.85000002</v>
          </cell>
          <cell r="CD11">
            <v>495741039.69</v>
          </cell>
          <cell r="CE11">
            <v>500502369.75999999</v>
          </cell>
          <cell r="CF11">
            <v>501465429.26000005</v>
          </cell>
          <cell r="CG11">
            <v>502325421.62</v>
          </cell>
          <cell r="CH11">
            <v>503817390.92000002</v>
          </cell>
          <cell r="CI11">
            <v>527632064.50999993</v>
          </cell>
          <cell r="CJ11">
            <v>537001235.28999996</v>
          </cell>
          <cell r="CK11">
            <v>551524650.28000009</v>
          </cell>
          <cell r="CL11">
            <v>554032853.58000004</v>
          </cell>
        </row>
        <row r="13">
          <cell r="A13">
            <v>2</v>
          </cell>
          <cell r="B13" t="str">
            <v>Total Pasivo</v>
          </cell>
          <cell r="E13">
            <v>177.34</v>
          </cell>
          <cell r="F13">
            <v>7805.84</v>
          </cell>
          <cell r="G13">
            <v>0</v>
          </cell>
          <cell r="H13">
            <v>0</v>
          </cell>
          <cell r="I13">
            <v>0</v>
          </cell>
          <cell r="J13">
            <v>1200</v>
          </cell>
          <cell r="K13">
            <v>7626.24</v>
          </cell>
          <cell r="L13">
            <v>3849.18</v>
          </cell>
          <cell r="M13">
            <v>3125.79</v>
          </cell>
          <cell r="N13">
            <v>9769.65</v>
          </cell>
          <cell r="O13">
            <v>366.6</v>
          </cell>
          <cell r="P13">
            <v>2932.55</v>
          </cell>
          <cell r="Q13">
            <v>6420.2</v>
          </cell>
          <cell r="R13">
            <v>1379.08</v>
          </cell>
          <cell r="S13">
            <v>1498.77</v>
          </cell>
          <cell r="T13">
            <v>18774.710000000003</v>
          </cell>
          <cell r="U13">
            <v>17983.04</v>
          </cell>
          <cell r="V13">
            <v>21674.16</v>
          </cell>
          <cell r="W13">
            <v>17820.580000000002</v>
          </cell>
          <cell r="X13">
            <v>17913.16</v>
          </cell>
          <cell r="Y13">
            <v>26616.14</v>
          </cell>
          <cell r="Z13">
            <v>27145.879999999997</v>
          </cell>
          <cell r="AA13">
            <v>26991.66</v>
          </cell>
          <cell r="AB13">
            <v>28119.05</v>
          </cell>
          <cell r="AC13">
            <v>11293.52</v>
          </cell>
          <cell r="AD13">
            <v>12641.47</v>
          </cell>
          <cell r="AE13">
            <v>1131827.24</v>
          </cell>
          <cell r="AF13">
            <v>49169.43</v>
          </cell>
          <cell r="AG13">
            <v>72233.7</v>
          </cell>
          <cell r="AH13">
            <v>1488203.37</v>
          </cell>
          <cell r="AI13">
            <v>1585222</v>
          </cell>
          <cell r="AJ13">
            <v>1517932.48</v>
          </cell>
          <cell r="AK13">
            <v>1561532.83</v>
          </cell>
          <cell r="AL13">
            <v>1723139.25</v>
          </cell>
          <cell r="AM13">
            <v>3092575.25</v>
          </cell>
          <cell r="AN13">
            <v>3225289.14</v>
          </cell>
          <cell r="AO13">
            <v>3126400.09</v>
          </cell>
          <cell r="AP13">
            <v>3109258.43</v>
          </cell>
          <cell r="AQ13">
            <v>3259160.75</v>
          </cell>
          <cell r="AR13">
            <v>3247323.3</v>
          </cell>
          <cell r="AS13">
            <v>3245882.72</v>
          </cell>
          <cell r="AT13">
            <v>3992523.1</v>
          </cell>
          <cell r="AU13">
            <v>3631968.19</v>
          </cell>
          <cell r="AV13">
            <v>3291697.7</v>
          </cell>
          <cell r="AW13">
            <v>3360262.29</v>
          </cell>
          <cell r="AX13">
            <v>3408146.81</v>
          </cell>
          <cell r="AY13">
            <v>4036700.04</v>
          </cell>
          <cell r="AZ13">
            <v>3425284.09</v>
          </cell>
          <cell r="BA13">
            <v>3923696.92</v>
          </cell>
          <cell r="BB13">
            <v>3955687.68</v>
          </cell>
          <cell r="BC13">
            <v>3934469.16</v>
          </cell>
          <cell r="BD13">
            <v>3935674.82</v>
          </cell>
          <cell r="BE13">
            <v>3928708.17</v>
          </cell>
          <cell r="BF13">
            <v>3948563.08</v>
          </cell>
          <cell r="BG13">
            <v>3892039.22</v>
          </cell>
          <cell r="BH13">
            <v>3777061.43</v>
          </cell>
          <cell r="BI13">
            <v>3785183.94</v>
          </cell>
          <cell r="BJ13">
            <v>3693534.0999999996</v>
          </cell>
          <cell r="BK13">
            <v>3699547.7399999998</v>
          </cell>
          <cell r="BL13">
            <v>3700718.62</v>
          </cell>
          <cell r="BM13">
            <v>3700441.99</v>
          </cell>
          <cell r="BN13">
            <v>5588092.4100000001</v>
          </cell>
          <cell r="BO13">
            <v>5720958.5999999996</v>
          </cell>
          <cell r="BP13">
            <v>4990231.18</v>
          </cell>
          <cell r="BQ13">
            <v>4029048.22</v>
          </cell>
          <cell r="BR13">
            <v>4030601.51</v>
          </cell>
          <cell r="BS13">
            <v>3276353.14</v>
          </cell>
          <cell r="BT13">
            <v>3249582.63</v>
          </cell>
          <cell r="BU13">
            <v>4289966.0599999996</v>
          </cell>
          <cell r="BV13">
            <v>3534988.69</v>
          </cell>
          <cell r="BW13">
            <v>3533498.34</v>
          </cell>
          <cell r="BX13">
            <v>3775853.84</v>
          </cell>
          <cell r="BY13">
            <v>3857983.78</v>
          </cell>
          <cell r="BZ13">
            <v>4384939.68</v>
          </cell>
          <cell r="CA13">
            <v>4694041.3099999996</v>
          </cell>
          <cell r="CB13">
            <v>4625101.92</v>
          </cell>
          <cell r="CC13">
            <v>4600576.67</v>
          </cell>
          <cell r="CD13">
            <v>3843464.29</v>
          </cell>
          <cell r="CE13">
            <v>4255882.5599999996</v>
          </cell>
          <cell r="CF13">
            <v>4261532.41</v>
          </cell>
          <cell r="CG13">
            <v>4215935.53</v>
          </cell>
          <cell r="CH13">
            <v>4139767.79</v>
          </cell>
          <cell r="CI13">
            <v>4441400.5</v>
          </cell>
          <cell r="CJ13">
            <v>4749474.5199999996</v>
          </cell>
          <cell r="CK13">
            <v>3847705.59</v>
          </cell>
          <cell r="CL13">
            <v>3840369.56</v>
          </cell>
        </row>
        <row r="14">
          <cell r="A14" t="str">
            <v>2.1</v>
          </cell>
          <cell r="B14" t="str">
            <v>Cuentas por pagar</v>
          </cell>
          <cell r="E14">
            <v>177.34</v>
          </cell>
          <cell r="F14">
            <v>7805.84</v>
          </cell>
          <cell r="J14">
            <v>1200</v>
          </cell>
          <cell r="K14">
            <v>7626.24</v>
          </cell>
          <cell r="L14">
            <v>3849.18</v>
          </cell>
          <cell r="M14">
            <v>3125.79</v>
          </cell>
          <cell r="N14">
            <v>9769.65</v>
          </cell>
          <cell r="O14">
            <v>366.6</v>
          </cell>
          <cell r="P14">
            <v>2932.55</v>
          </cell>
          <cell r="Q14">
            <v>6420.2</v>
          </cell>
          <cell r="R14">
            <v>1379.08</v>
          </cell>
          <cell r="S14">
            <v>1498.77</v>
          </cell>
          <cell r="T14">
            <v>954.65</v>
          </cell>
          <cell r="U14">
            <v>162.97999999999999</v>
          </cell>
          <cell r="V14">
            <v>3854.1</v>
          </cell>
          <cell r="W14">
            <v>0.52</v>
          </cell>
          <cell r="X14">
            <v>93.1</v>
          </cell>
          <cell r="Y14">
            <v>8796.08</v>
          </cell>
          <cell r="Z14">
            <v>9310.3799999999992</v>
          </cell>
          <cell r="AA14">
            <v>9156.16</v>
          </cell>
          <cell r="AB14">
            <v>10283.549999999999</v>
          </cell>
          <cell r="AC14">
            <v>11293.52</v>
          </cell>
          <cell r="AD14">
            <v>12641.47</v>
          </cell>
          <cell r="AE14">
            <v>1131827.24</v>
          </cell>
          <cell r="AF14">
            <v>49169.43</v>
          </cell>
          <cell r="AG14">
            <v>72233.7</v>
          </cell>
          <cell r="AH14">
            <v>1488203.37</v>
          </cell>
          <cell r="AI14">
            <v>1585222</v>
          </cell>
          <cell r="AJ14">
            <v>1517932.48</v>
          </cell>
          <cell r="AK14">
            <v>1561532.83</v>
          </cell>
          <cell r="AL14">
            <v>1723139.25</v>
          </cell>
          <cell r="AM14">
            <v>3092575.25</v>
          </cell>
          <cell r="AN14">
            <v>3225289.14</v>
          </cell>
          <cell r="AO14">
            <v>3126400.09</v>
          </cell>
          <cell r="AP14">
            <v>3109258.43</v>
          </cell>
          <cell r="AQ14">
            <v>3259160.75</v>
          </cell>
          <cell r="AR14">
            <v>3247323.3</v>
          </cell>
          <cell r="AS14">
            <v>3245882.72</v>
          </cell>
          <cell r="AT14">
            <v>3992523.1</v>
          </cell>
          <cell r="AU14">
            <v>3631968.19</v>
          </cell>
          <cell r="AV14">
            <v>3291697.7</v>
          </cell>
          <cell r="AW14">
            <v>3360262.29</v>
          </cell>
          <cell r="AX14">
            <v>3408146.81</v>
          </cell>
          <cell r="AY14">
            <v>4036700.04</v>
          </cell>
          <cell r="AZ14">
            <v>3425284.09</v>
          </cell>
          <cell r="BA14">
            <v>3923696.92</v>
          </cell>
          <cell r="BB14">
            <v>3955687.68</v>
          </cell>
          <cell r="BC14">
            <v>3934469.16</v>
          </cell>
          <cell r="BD14">
            <v>3935674.82</v>
          </cell>
          <cell r="BE14">
            <v>3928708.17</v>
          </cell>
          <cell r="BF14">
            <v>3948563.08</v>
          </cell>
          <cell r="BG14">
            <v>3892039.22</v>
          </cell>
          <cell r="BH14">
            <v>3777061.43</v>
          </cell>
          <cell r="BI14">
            <v>3785183.94</v>
          </cell>
          <cell r="BJ14">
            <v>3693534.0999999996</v>
          </cell>
          <cell r="BK14">
            <v>3699547.7399999998</v>
          </cell>
          <cell r="BL14">
            <v>3700718.62</v>
          </cell>
          <cell r="BM14">
            <v>3700441.99</v>
          </cell>
          <cell r="BN14">
            <v>5588092.4100000001</v>
          </cell>
          <cell r="BO14">
            <v>5720958.5999999996</v>
          </cell>
          <cell r="BP14">
            <v>4990231.18</v>
          </cell>
          <cell r="BQ14">
            <v>4029048.22</v>
          </cell>
          <cell r="BR14">
            <v>4030601.51</v>
          </cell>
          <cell r="BS14">
            <v>3276353.14</v>
          </cell>
          <cell r="BT14">
            <v>3249582.63</v>
          </cell>
          <cell r="BU14">
            <v>4289966.0599999996</v>
          </cell>
          <cell r="BV14">
            <v>3534988.69</v>
          </cell>
          <cell r="BW14">
            <v>3533498.34</v>
          </cell>
          <cell r="BX14">
            <v>3775853.84</v>
          </cell>
          <cell r="BY14">
            <v>3857983.78</v>
          </cell>
          <cell r="BZ14">
            <v>4384939.68</v>
          </cell>
          <cell r="CA14">
            <v>4694041.3099999996</v>
          </cell>
          <cell r="CB14">
            <v>4625101.92</v>
          </cell>
          <cell r="CC14">
            <v>4600576.67</v>
          </cell>
          <cell r="CD14">
            <v>3843464.29</v>
          </cell>
          <cell r="CE14">
            <v>4255882.5599999996</v>
          </cell>
          <cell r="CF14">
            <v>4261532.41</v>
          </cell>
          <cell r="CG14">
            <v>4215935.53</v>
          </cell>
          <cell r="CH14">
            <v>4139767.79</v>
          </cell>
          <cell r="CI14">
            <v>4441400.5</v>
          </cell>
          <cell r="CJ14">
            <v>4749474.5199999996</v>
          </cell>
          <cell r="CK14">
            <v>3847705.59</v>
          </cell>
          <cell r="CL14">
            <v>3840369.56</v>
          </cell>
        </row>
        <row r="15">
          <cell r="A15" t="str">
            <v>2.2</v>
          </cell>
          <cell r="B15" t="str">
            <v>Obligaciones financieras</v>
          </cell>
          <cell r="T15">
            <v>17820.060000000001</v>
          </cell>
          <cell r="U15">
            <v>17820.060000000001</v>
          </cell>
          <cell r="V15">
            <v>17820.060000000001</v>
          </cell>
          <cell r="W15">
            <v>17820.060000000001</v>
          </cell>
          <cell r="X15">
            <v>17820.060000000001</v>
          </cell>
          <cell r="Y15">
            <v>17820.060000000001</v>
          </cell>
          <cell r="Z15">
            <v>17835.5</v>
          </cell>
          <cell r="AA15">
            <v>17835.5</v>
          </cell>
          <cell r="AB15">
            <v>17835.5</v>
          </cell>
          <cell r="AX15">
            <v>0</v>
          </cell>
          <cell r="AY15">
            <v>0</v>
          </cell>
          <cell r="AZ15">
            <v>0</v>
          </cell>
          <cell r="BA15">
            <v>0</v>
          </cell>
          <cell r="BB15">
            <v>0</v>
          </cell>
          <cell r="BC15">
            <v>0</v>
          </cell>
          <cell r="BD15">
            <v>0</v>
          </cell>
          <cell r="BE15">
            <v>0</v>
          </cell>
          <cell r="BG15">
            <v>0</v>
          </cell>
        </row>
        <row r="16">
          <cell r="A16">
            <v>5</v>
          </cell>
          <cell r="B16" t="str">
            <v>Ingresos</v>
          </cell>
          <cell r="AF16">
            <v>417879.05</v>
          </cell>
          <cell r="AG16">
            <v>670901.52</v>
          </cell>
          <cell r="AH16">
            <v>911039.96</v>
          </cell>
          <cell r="AI16">
            <v>767074.94</v>
          </cell>
          <cell r="AJ16">
            <v>255536.32</v>
          </cell>
          <cell r="AK16">
            <v>519504.72</v>
          </cell>
          <cell r="AL16">
            <v>934162.77</v>
          </cell>
          <cell r="AM16">
            <v>1375510.26</v>
          </cell>
          <cell r="AN16">
            <v>1831160.63</v>
          </cell>
          <cell r="AO16">
            <v>2274664.16</v>
          </cell>
          <cell r="AP16">
            <v>2720777.07</v>
          </cell>
          <cell r="AQ16">
            <v>3141400.89</v>
          </cell>
          <cell r="AR16">
            <v>3571038.95</v>
          </cell>
          <cell r="AS16">
            <v>4048997.76</v>
          </cell>
          <cell r="AT16">
            <v>4517283.43</v>
          </cell>
          <cell r="AV16">
            <v>461897.07</v>
          </cell>
          <cell r="AW16">
            <v>897352.72</v>
          </cell>
          <cell r="AX16">
            <v>1352248.83</v>
          </cell>
          <cell r="AY16">
            <v>1793530.21</v>
          </cell>
          <cell r="AZ16">
            <v>2249507</v>
          </cell>
          <cell r="BA16">
            <v>2729021.61</v>
          </cell>
          <cell r="BB16">
            <v>3202699.03</v>
          </cell>
          <cell r="BC16">
            <v>3725363.72</v>
          </cell>
          <cell r="BD16">
            <v>4188255.52</v>
          </cell>
          <cell r="BE16">
            <v>4665904.66</v>
          </cell>
          <cell r="BF16">
            <v>5159242.13</v>
          </cell>
          <cell r="BG16">
            <v>0</v>
          </cell>
          <cell r="BH16">
            <v>537909.31000000006</v>
          </cell>
          <cell r="BI16">
            <v>1121111.33</v>
          </cell>
          <cell r="BJ16">
            <v>1714164.45</v>
          </cell>
          <cell r="BK16">
            <v>2328318.25</v>
          </cell>
          <cell r="BL16">
            <v>2966367.36</v>
          </cell>
          <cell r="BM16">
            <v>3602468.91</v>
          </cell>
          <cell r="BN16">
            <v>4261550.96</v>
          </cell>
          <cell r="BO16">
            <v>4918656.84</v>
          </cell>
          <cell r="BP16">
            <v>7201859.1600000001</v>
          </cell>
          <cell r="BQ16">
            <v>7967033.7800000003</v>
          </cell>
          <cell r="BR16">
            <v>8594724.3699999992</v>
          </cell>
          <cell r="BS16">
            <v>0</v>
          </cell>
          <cell r="BT16">
            <v>725331.04</v>
          </cell>
          <cell r="BU16">
            <v>1608677.66</v>
          </cell>
          <cell r="BV16">
            <v>2475155.94</v>
          </cell>
          <cell r="BW16">
            <v>3419953.1100000003</v>
          </cell>
          <cell r="BX16">
            <v>4313022.4800000004</v>
          </cell>
          <cell r="BY16">
            <v>5132981.91</v>
          </cell>
          <cell r="BZ16">
            <v>5787768.5300000003</v>
          </cell>
          <cell r="CA16">
            <v>6642952.2199999997</v>
          </cell>
          <cell r="CB16">
            <v>7700548.46</v>
          </cell>
          <cell r="CC16">
            <v>8509042.9499999993</v>
          </cell>
          <cell r="CD16">
            <v>9353407.2899999991</v>
          </cell>
          <cell r="CE16">
            <v>0</v>
          </cell>
          <cell r="CF16">
            <v>957409.65</v>
          </cell>
          <cell r="CG16">
            <v>1862998.89</v>
          </cell>
          <cell r="CH16">
            <v>2934299.26</v>
          </cell>
          <cell r="CI16">
            <v>3940833.88</v>
          </cell>
          <cell r="CJ16">
            <v>4967515.8499999996</v>
          </cell>
          <cell r="CK16">
            <v>5973979.96</v>
          </cell>
          <cell r="CL16">
            <v>7064653.5300000003</v>
          </cell>
        </row>
        <row r="17">
          <cell r="A17">
            <v>3</v>
          </cell>
          <cell r="B17" t="str">
            <v>Patrimonio</v>
          </cell>
          <cell r="C17">
            <v>75694617.239999995</v>
          </cell>
          <cell r="D17">
            <v>79723219.170000002</v>
          </cell>
          <cell r="E17">
            <v>79805903.569999993</v>
          </cell>
          <cell r="F17">
            <v>95602293.329999998</v>
          </cell>
          <cell r="G17">
            <v>95714932.620000005</v>
          </cell>
          <cell r="H17">
            <v>98472872.400000006</v>
          </cell>
          <cell r="I17">
            <v>103986911.31</v>
          </cell>
          <cell r="J17">
            <v>104010872.56999999</v>
          </cell>
          <cell r="K17">
            <v>106931249.59</v>
          </cell>
          <cell r="L17">
            <v>112456002.90000001</v>
          </cell>
          <cell r="M17">
            <v>115576095.95999999</v>
          </cell>
          <cell r="N17">
            <v>118624557.81</v>
          </cell>
          <cell r="O17">
            <v>121572401.84999999</v>
          </cell>
          <cell r="P17">
            <v>124653783.95</v>
          </cell>
          <cell r="Q17">
            <v>127626365.20999999</v>
          </cell>
          <cell r="R17">
            <v>130734947.63</v>
          </cell>
          <cell r="S17">
            <v>134051748.41</v>
          </cell>
          <cell r="T17">
            <v>137047883.03</v>
          </cell>
          <cell r="U17">
            <v>140163925.47</v>
          </cell>
          <cell r="V17">
            <v>143273216.63</v>
          </cell>
          <cell r="W17">
            <v>146370680.49000001</v>
          </cell>
          <cell r="X17">
            <v>149411212.91</v>
          </cell>
          <cell r="Y17">
            <v>152439239.81</v>
          </cell>
          <cell r="Z17">
            <v>155308612.16999999</v>
          </cell>
          <cell r="AA17">
            <v>158420582.83000001</v>
          </cell>
          <cell r="AB17">
            <v>161662720.86000001</v>
          </cell>
          <cell r="AC17">
            <v>164891126.13</v>
          </cell>
          <cell r="AD17">
            <v>168169140.13</v>
          </cell>
          <cell r="AE17">
            <v>200718385.71000001</v>
          </cell>
          <cell r="AF17">
            <v>204945279.19999999</v>
          </cell>
          <cell r="AG17">
            <v>181299677</v>
          </cell>
          <cell r="AH17">
            <v>212298693.73000002</v>
          </cell>
          <cell r="AI17">
            <v>216827105.06999999</v>
          </cell>
          <cell r="AJ17">
            <v>217030078.90000001</v>
          </cell>
          <cell r="AK17">
            <v>221105782.43000001</v>
          </cell>
          <cell r="AL17">
            <v>264981701.67000002</v>
          </cell>
          <cell r="AM17">
            <v>269147980.08000004</v>
          </cell>
          <cell r="AN17">
            <v>272988031.69999999</v>
          </cell>
          <cell r="AO17">
            <v>277230437.10999995</v>
          </cell>
          <cell r="AP17">
            <v>281957837.00999993</v>
          </cell>
          <cell r="AQ17">
            <v>286298016.33999997</v>
          </cell>
          <cell r="AR17">
            <v>290716345.81999993</v>
          </cell>
          <cell r="AS17">
            <v>295045571.83999997</v>
          </cell>
          <cell r="AT17">
            <v>299448892.56999999</v>
          </cell>
          <cell r="AU17">
            <v>286146891.16000003</v>
          </cell>
          <cell r="AV17">
            <v>290995639.16000003</v>
          </cell>
          <cell r="AW17">
            <v>290995639.16000003</v>
          </cell>
          <cell r="AX17">
            <v>300580446.95000005</v>
          </cell>
          <cell r="AY17">
            <v>305493005.54000002</v>
          </cell>
          <cell r="AZ17">
            <v>310583439.60000002</v>
          </cell>
          <cell r="BA17">
            <v>315200063.69</v>
          </cell>
          <cell r="BB17">
            <v>320538901.93000001</v>
          </cell>
          <cell r="BC17">
            <v>325697426.08999997</v>
          </cell>
          <cell r="BD17">
            <v>330971838.92000002</v>
          </cell>
          <cell r="BE17">
            <v>336207227.80000001</v>
          </cell>
          <cell r="BF17">
            <v>336559254.95000005</v>
          </cell>
          <cell r="BG17">
            <v>337100875.65999997</v>
          </cell>
          <cell r="BH17">
            <v>337561926.88999999</v>
          </cell>
          <cell r="BI17">
            <v>342939934.83999997</v>
          </cell>
          <cell r="BJ17">
            <v>353850386.36000001</v>
          </cell>
          <cell r="BK17">
            <v>353992757.49000001</v>
          </cell>
          <cell r="BL17">
            <v>359643577.55000001</v>
          </cell>
          <cell r="BM17">
            <v>365322633.81</v>
          </cell>
          <cell r="BN17">
            <v>371345876.63</v>
          </cell>
          <cell r="BO17">
            <v>377333327.13999999</v>
          </cell>
          <cell r="BP17">
            <v>383175090.54000002</v>
          </cell>
          <cell r="BQ17">
            <v>389235592.13</v>
          </cell>
          <cell r="BR17">
            <v>395609056.75999999</v>
          </cell>
          <cell r="BS17">
            <v>411765852.43000001</v>
          </cell>
          <cell r="BT17">
            <v>411946161.23000002</v>
          </cell>
          <cell r="BU17">
            <v>418227669.69999999</v>
          </cell>
          <cell r="BV17">
            <v>430667854.85000002</v>
          </cell>
          <cell r="BW17">
            <v>431024614.32999998</v>
          </cell>
          <cell r="BX17">
            <v>431024614.32999998</v>
          </cell>
          <cell r="BY17">
            <v>431024614.32999998</v>
          </cell>
          <cell r="BZ17">
            <v>450827959.24000001</v>
          </cell>
          <cell r="CA17">
            <v>462277233.56999999</v>
          </cell>
          <cell r="CB17">
            <v>462996251.00999999</v>
          </cell>
          <cell r="CC17">
            <v>475057083.23000002</v>
          </cell>
          <cell r="CD17">
            <v>482544168.11000001</v>
          </cell>
          <cell r="CE17">
            <v>496246487.19999999</v>
          </cell>
          <cell r="CF17">
            <v>496246487.19999999</v>
          </cell>
          <cell r="CG17">
            <v>496246487.19999999</v>
          </cell>
          <cell r="CH17">
            <v>496743323.87</v>
          </cell>
          <cell r="CI17">
            <v>519249830.13</v>
          </cell>
          <cell r="CJ17">
            <v>527284244.92000002</v>
          </cell>
          <cell r="CK17">
            <v>541702964.73000002</v>
          </cell>
          <cell r="CL17">
            <v>543127830.49000001</v>
          </cell>
        </row>
        <row r="19">
          <cell r="B19" t="str">
            <v xml:space="preserve">TOTAL PASIVO Y PATRIMONIO </v>
          </cell>
          <cell r="C19">
            <v>75694617.239999995</v>
          </cell>
          <cell r="D19">
            <v>79723219.170000002</v>
          </cell>
          <cell r="E19">
            <v>79806080.909999996</v>
          </cell>
          <cell r="F19">
            <v>95610099.170000002</v>
          </cell>
          <cell r="G19">
            <v>95714932.620000005</v>
          </cell>
          <cell r="H19">
            <v>98472872.400000006</v>
          </cell>
          <cell r="I19">
            <v>103986911.31</v>
          </cell>
          <cell r="J19">
            <v>104012072.56999999</v>
          </cell>
          <cell r="K19">
            <v>106938875.83</v>
          </cell>
          <cell r="L19">
            <v>112459852.08000001</v>
          </cell>
          <cell r="M19">
            <v>115579221.75</v>
          </cell>
          <cell r="N19">
            <v>118634327.46000001</v>
          </cell>
          <cell r="O19">
            <v>121572768.44999999</v>
          </cell>
          <cell r="P19">
            <v>124656716.5</v>
          </cell>
          <cell r="Q19">
            <v>127632785.41</v>
          </cell>
          <cell r="R19">
            <v>130736326.70999999</v>
          </cell>
          <cell r="S19">
            <v>134053247.17999999</v>
          </cell>
          <cell r="T19">
            <v>137066657.74000001</v>
          </cell>
          <cell r="U19">
            <v>140181908.50999999</v>
          </cell>
          <cell r="V19">
            <v>143294890.78999999</v>
          </cell>
          <cell r="W19">
            <v>146388501.07000002</v>
          </cell>
          <cell r="X19">
            <v>149429126.06999999</v>
          </cell>
          <cell r="Y19">
            <v>152465855.94999999</v>
          </cell>
          <cell r="Z19">
            <v>155335758.04999998</v>
          </cell>
          <cell r="AA19">
            <v>158447574.49000001</v>
          </cell>
          <cell r="AB19">
            <v>161690839.91000003</v>
          </cell>
          <cell r="AC19">
            <v>164902419.65000001</v>
          </cell>
          <cell r="AD19">
            <v>168181781.59999999</v>
          </cell>
          <cell r="AE19">
            <v>201850212.95000002</v>
          </cell>
          <cell r="AF19">
            <v>204994448.63</v>
          </cell>
          <cell r="AG19">
            <v>181371910.69999999</v>
          </cell>
          <cell r="AH19">
            <v>213786897.10000002</v>
          </cell>
          <cell r="AI19">
            <v>218412327.06999999</v>
          </cell>
          <cell r="AJ19">
            <v>218548011.38</v>
          </cell>
          <cell r="AK19">
            <v>222667315.26000002</v>
          </cell>
          <cell r="AL19">
            <v>266704840.92000002</v>
          </cell>
          <cell r="AM19">
            <v>272240555.33000004</v>
          </cell>
          <cell r="AN19">
            <v>276213320.83999997</v>
          </cell>
          <cell r="AO19">
            <v>280356837.19999993</v>
          </cell>
          <cell r="AP19">
            <v>285067095.43999994</v>
          </cell>
          <cell r="AQ19">
            <v>289557177.08999997</v>
          </cell>
          <cell r="AR19">
            <v>293963669.11999995</v>
          </cell>
          <cell r="AS19">
            <v>298291454.56</v>
          </cell>
          <cell r="AT19">
            <v>303441415.67000002</v>
          </cell>
          <cell r="AU19">
            <v>289778859.35000002</v>
          </cell>
          <cell r="AV19">
            <v>294287336.86000001</v>
          </cell>
          <cell r="AW19">
            <v>294355901.45000005</v>
          </cell>
          <cell r="AX19">
            <v>303988593.76000005</v>
          </cell>
          <cell r="AY19">
            <v>309529705.58000004</v>
          </cell>
          <cell r="AZ19">
            <v>314008723.69</v>
          </cell>
          <cell r="BA19">
            <v>319123760.61000001</v>
          </cell>
          <cell r="BB19">
            <v>324494589.61000001</v>
          </cell>
          <cell r="BC19">
            <v>329631895.25000006</v>
          </cell>
          <cell r="BD19">
            <v>334907513.74000001</v>
          </cell>
          <cell r="BE19">
            <v>340135935.97000003</v>
          </cell>
          <cell r="BF19">
            <v>340507818.03000003</v>
          </cell>
          <cell r="BG19">
            <v>340992914.88</v>
          </cell>
          <cell r="BH19">
            <v>341338988.31999999</v>
          </cell>
          <cell r="BI19">
            <v>346725118.77999997</v>
          </cell>
          <cell r="BJ19">
            <v>357543920.46000004</v>
          </cell>
          <cell r="BK19">
            <v>357692305.23000002</v>
          </cell>
          <cell r="BL19">
            <v>363344296.17000002</v>
          </cell>
          <cell r="BM19">
            <v>369023075.80000001</v>
          </cell>
          <cell r="BN19">
            <v>376933969.04000002</v>
          </cell>
          <cell r="BO19">
            <v>383054285.74000001</v>
          </cell>
          <cell r="BP19">
            <v>388165321.72000003</v>
          </cell>
          <cell r="BQ19">
            <v>393264640.35000002</v>
          </cell>
          <cell r="BR19">
            <v>399639658.26999998</v>
          </cell>
          <cell r="BS19">
            <v>415042205.56999999</v>
          </cell>
          <cell r="BT19">
            <v>415195743.86000001</v>
          </cell>
          <cell r="BU19">
            <v>422517635.75999999</v>
          </cell>
          <cell r="BV19">
            <v>434202843.54000002</v>
          </cell>
          <cell r="BW19">
            <v>434558112.66999996</v>
          </cell>
          <cell r="BX19">
            <v>434800468.16999996</v>
          </cell>
          <cell r="BY19">
            <v>434882598.10999995</v>
          </cell>
          <cell r="BZ19">
            <v>455212898.92000002</v>
          </cell>
          <cell r="CA19">
            <v>466971274.88</v>
          </cell>
          <cell r="CB19">
            <v>467621352.93000001</v>
          </cell>
          <cell r="CC19">
            <v>479657659.90000004</v>
          </cell>
          <cell r="CD19">
            <v>486387632.40000004</v>
          </cell>
          <cell r="CE19">
            <v>500502369.75999999</v>
          </cell>
          <cell r="CF19">
            <v>500508019.61000001</v>
          </cell>
          <cell r="CG19">
            <v>500462422.72999996</v>
          </cell>
          <cell r="CH19">
            <v>500883091.66000003</v>
          </cell>
          <cell r="CI19">
            <v>523691230.63</v>
          </cell>
          <cell r="CJ19">
            <v>532033719.44</v>
          </cell>
          <cell r="CK19">
            <v>545550670.32000005</v>
          </cell>
          <cell r="CL19">
            <v>546968200.04999995</v>
          </cell>
        </row>
        <row r="21">
          <cell r="B21" t="str">
            <v>TOTAL PASIVO, PATRIMONIO E INGRESOS</v>
          </cell>
          <cell r="AF21">
            <v>205412327.68000001</v>
          </cell>
          <cell r="AG21">
            <v>182042812.22</v>
          </cell>
          <cell r="AH21">
            <v>214697937.06000003</v>
          </cell>
          <cell r="AI21">
            <v>219179402.00999999</v>
          </cell>
          <cell r="AJ21">
            <v>218803547.69999999</v>
          </cell>
          <cell r="AK21">
            <v>223186819.98000002</v>
          </cell>
          <cell r="AL21">
            <v>267639003.69000003</v>
          </cell>
          <cell r="AM21">
            <v>273616065.59000003</v>
          </cell>
          <cell r="AN21">
            <v>278044481.46999997</v>
          </cell>
          <cell r="AO21">
            <v>282631501.35999995</v>
          </cell>
          <cell r="AP21">
            <v>287787872.50999993</v>
          </cell>
          <cell r="AQ21">
            <v>292698577.97999996</v>
          </cell>
          <cell r="AR21">
            <v>297534708.06999993</v>
          </cell>
          <cell r="AS21">
            <v>302340452.31999999</v>
          </cell>
          <cell r="AT21">
            <v>307958699.10000002</v>
          </cell>
          <cell r="AU21">
            <v>289778859.35000002</v>
          </cell>
          <cell r="AV21">
            <v>294749233.93000001</v>
          </cell>
          <cell r="AW21">
            <v>295253254.17000008</v>
          </cell>
          <cell r="AX21">
            <v>305340842.59000003</v>
          </cell>
          <cell r="AY21">
            <v>311323235.79000002</v>
          </cell>
          <cell r="AZ21">
            <v>316258230.69</v>
          </cell>
          <cell r="BA21">
            <v>321852782.22000003</v>
          </cell>
          <cell r="BB21">
            <v>327697288.63999999</v>
          </cell>
          <cell r="BC21">
            <v>333357258.97000009</v>
          </cell>
          <cell r="BD21">
            <v>339095769.25999999</v>
          </cell>
          <cell r="BE21">
            <v>344801840.63000005</v>
          </cell>
          <cell r="BF21">
            <v>345667060.16000003</v>
          </cell>
          <cell r="BG21">
            <v>340992914.88</v>
          </cell>
          <cell r="BH21">
            <v>341876897.63</v>
          </cell>
          <cell r="BI21">
            <v>347846230.10999995</v>
          </cell>
          <cell r="BJ21">
            <v>359258084.91000003</v>
          </cell>
          <cell r="BK21">
            <v>360020623.48000002</v>
          </cell>
          <cell r="BL21">
            <v>366310663.53000003</v>
          </cell>
          <cell r="BM21">
            <v>372625544.71000004</v>
          </cell>
          <cell r="BN21">
            <v>381195520</v>
          </cell>
          <cell r="BO21">
            <v>387972942.57999998</v>
          </cell>
          <cell r="BP21">
            <v>395367180.88000005</v>
          </cell>
          <cell r="BQ21">
            <v>401231674.13</v>
          </cell>
          <cell r="BR21">
            <v>408234382.63999999</v>
          </cell>
          <cell r="BS21">
            <v>415042205.56999999</v>
          </cell>
          <cell r="BT21">
            <v>415921074.90000004</v>
          </cell>
          <cell r="BU21">
            <v>424126313.42000002</v>
          </cell>
          <cell r="BV21">
            <v>436677999.48000002</v>
          </cell>
          <cell r="BW21">
            <v>437978065.77999997</v>
          </cell>
          <cell r="BX21">
            <v>439113490.64999998</v>
          </cell>
          <cell r="BY21">
            <v>440015580.01999998</v>
          </cell>
          <cell r="BZ21">
            <v>461000667.44999999</v>
          </cell>
          <cell r="CA21">
            <v>473614227.10000002</v>
          </cell>
          <cell r="CB21">
            <v>475321901.38999999</v>
          </cell>
          <cell r="CC21">
            <v>488166702.85000002</v>
          </cell>
          <cell r="CD21">
            <v>495741039.69000006</v>
          </cell>
          <cell r="CE21">
            <v>500502369.75999999</v>
          </cell>
          <cell r="CF21">
            <v>501465429.25999999</v>
          </cell>
          <cell r="CG21">
            <v>502325421.61999995</v>
          </cell>
          <cell r="CH21">
            <v>503817390.92000002</v>
          </cell>
          <cell r="CI21">
            <v>527632064.50999999</v>
          </cell>
          <cell r="CJ21">
            <v>537001235.28999996</v>
          </cell>
          <cell r="CK21">
            <v>551524650.28000009</v>
          </cell>
          <cell r="CL21">
            <v>554032853.57999992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3:H12"/>
  <sheetViews>
    <sheetView workbookViewId="0">
      <selection activeCell="C10" sqref="C10:H10"/>
    </sheetView>
  </sheetViews>
  <sheetFormatPr baseColWidth="10" defaultColWidth="11.5546875" defaultRowHeight="14.4" x14ac:dyDescent="0.3"/>
  <cols>
    <col min="1" max="1" width="11.5546875" style="2"/>
    <col min="2" max="2" width="4.6640625" style="2" customWidth="1"/>
    <col min="3" max="6" width="11.5546875" style="2"/>
    <col min="7" max="7" width="20" style="2" customWidth="1"/>
    <col min="8" max="8" width="13.5546875" style="2" customWidth="1"/>
    <col min="9" max="16384" width="11.5546875" style="2"/>
  </cols>
  <sheetData>
    <row r="3" spans="2:8" ht="15" customHeight="1" x14ac:dyDescent="0.3">
      <c r="G3" s="97" t="s">
        <v>120</v>
      </c>
      <c r="H3" s="97"/>
    </row>
    <row r="4" spans="2:8" ht="15" customHeight="1" x14ac:dyDescent="0.3">
      <c r="G4" s="97"/>
      <c r="H4" s="97"/>
    </row>
    <row r="5" spans="2:8" ht="15" customHeight="1" x14ac:dyDescent="0.3">
      <c r="G5" s="97"/>
      <c r="H5" s="97"/>
    </row>
    <row r="6" spans="2:8" ht="22.5" customHeight="1" x14ac:dyDescent="0.3">
      <c r="G6" s="97"/>
      <c r="H6" s="97"/>
    </row>
    <row r="7" spans="2:8" ht="15" customHeight="1" x14ac:dyDescent="0.3">
      <c r="G7" s="97"/>
      <c r="H7" s="97"/>
    </row>
    <row r="8" spans="2:8" ht="18" x14ac:dyDescent="0.35">
      <c r="B8" s="94" t="s">
        <v>36</v>
      </c>
      <c r="C8" s="94"/>
      <c r="D8" s="94"/>
      <c r="E8" s="94"/>
      <c r="F8" s="94"/>
      <c r="G8" s="94"/>
      <c r="H8" s="94"/>
    </row>
    <row r="10" spans="2:8" x14ac:dyDescent="0.3">
      <c r="B10" s="4" t="s">
        <v>37</v>
      </c>
      <c r="C10" s="95" t="s">
        <v>17</v>
      </c>
      <c r="D10" s="95"/>
      <c r="E10" s="95"/>
      <c r="F10" s="95"/>
      <c r="G10" s="95"/>
      <c r="H10" s="95"/>
    </row>
    <row r="11" spans="2:8" x14ac:dyDescent="0.3">
      <c r="B11" s="3"/>
      <c r="C11" s="1"/>
      <c r="D11" s="1"/>
      <c r="E11" s="1"/>
      <c r="F11" s="1"/>
      <c r="G11" s="1"/>
      <c r="H11" s="1"/>
    </row>
    <row r="12" spans="2:8" x14ac:dyDescent="0.3">
      <c r="B12" s="5" t="s">
        <v>38</v>
      </c>
      <c r="C12" s="96" t="s">
        <v>18</v>
      </c>
      <c r="D12" s="96"/>
      <c r="E12" s="96"/>
      <c r="F12" s="96"/>
      <c r="G12" s="96"/>
      <c r="H12" s="96"/>
    </row>
  </sheetData>
  <mergeCells count="4">
    <mergeCell ref="B8:H8"/>
    <mergeCell ref="C10:H10"/>
    <mergeCell ref="C12:H12"/>
    <mergeCell ref="G3:H7"/>
  </mergeCells>
  <hyperlinks>
    <hyperlink ref="C12:H12" location="'Popular y Solidario'!A1" display="SISTEMA FINANCIERO POPULAR Y SOLIDARIO"/>
    <hyperlink ref="C10:H10" location="Privado!A1" display="SISTEMA FINANCIERO PRIVAD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DZ71"/>
  <sheetViews>
    <sheetView showGridLines="0" tabSelected="1" zoomScale="90" zoomScaleNormal="90" workbookViewId="0">
      <pane xSplit="3" ySplit="10" topLeftCell="DS16" activePane="bottomRight" state="frozen"/>
      <selection pane="topRight" activeCell="D1" sqref="D1"/>
      <selection pane="bottomLeft" activeCell="A11" sqref="A11"/>
      <selection pane="bottomRight" activeCell="DU29" sqref="DU29"/>
    </sheetView>
  </sheetViews>
  <sheetFormatPr baseColWidth="10" defaultRowHeight="14.4" x14ac:dyDescent="0.3"/>
  <cols>
    <col min="1" max="1" width="2.109375" style="56" customWidth="1"/>
    <col min="2" max="2" width="5.109375" style="56" customWidth="1"/>
    <col min="3" max="3" width="32.44140625" style="56" customWidth="1"/>
    <col min="4" max="33" width="12.33203125" style="56" bestFit="1" customWidth="1"/>
    <col min="34" max="47" width="14.109375" style="56" bestFit="1" customWidth="1"/>
    <col min="48" max="64" width="12.44140625" style="56" customWidth="1"/>
    <col min="65" max="65" width="14.44140625" style="56" customWidth="1"/>
    <col min="66" max="66" width="14.77734375" style="56" bestFit="1" customWidth="1"/>
    <col min="67" max="67" width="14.44140625" style="56" customWidth="1"/>
    <col min="68" max="69" width="14.77734375" style="56" bestFit="1" customWidth="1"/>
    <col min="70" max="74" width="14.44140625" style="56" customWidth="1"/>
    <col min="75" max="77" width="14.77734375" style="56" bestFit="1" customWidth="1"/>
    <col min="78" max="83" width="14.44140625" style="56" customWidth="1"/>
    <col min="84" max="85" width="14.77734375" style="56" bestFit="1" customWidth="1"/>
    <col min="86" max="95" width="14.44140625" style="56" customWidth="1"/>
    <col min="96" max="98" width="15.109375" style="56" customWidth="1"/>
    <col min="99" max="100" width="17" style="56" customWidth="1"/>
    <col min="101" max="101" width="16.33203125" style="56" customWidth="1"/>
    <col min="102" max="102" width="14.88671875" style="56" bestFit="1" customWidth="1"/>
    <col min="103" max="103" width="15.6640625" style="56" customWidth="1"/>
    <col min="104" max="104" width="14.88671875" style="56" bestFit="1" customWidth="1"/>
    <col min="105" max="105" width="15.6640625" style="56" bestFit="1" customWidth="1"/>
    <col min="106" max="107" width="19" style="56" bestFit="1" customWidth="1"/>
    <col min="108" max="108" width="17.6640625" style="56" customWidth="1"/>
    <col min="109" max="110" width="19" style="56" bestFit="1" customWidth="1"/>
    <col min="111" max="111" width="17.5546875" style="56" customWidth="1"/>
    <col min="112" max="112" width="17.6640625" style="56" customWidth="1"/>
    <col min="113" max="113" width="16.5546875" style="56" customWidth="1"/>
    <col min="114" max="114" width="19.33203125" style="56" customWidth="1"/>
    <col min="115" max="115" width="16.88671875" style="56" customWidth="1"/>
    <col min="116" max="122" width="14.88671875" style="56" bestFit="1" customWidth="1"/>
    <col min="123" max="123" width="15.109375" style="56" customWidth="1"/>
    <col min="124" max="124" width="15.77734375" style="56" customWidth="1"/>
    <col min="125" max="125" width="15" style="56" customWidth="1"/>
    <col min="126" max="126" width="16.21875" style="56" customWidth="1"/>
    <col min="127" max="127" width="14.77734375" style="56" customWidth="1"/>
    <col min="128" max="128" width="15.33203125" style="56" customWidth="1"/>
    <col min="129" max="129" width="17.88671875" style="56" customWidth="1"/>
    <col min="130" max="130" width="16.21875" style="56" customWidth="1"/>
    <col min="131" max="16384" width="11.5546875" style="56"/>
  </cols>
  <sheetData>
    <row r="1" spans="2:130" ht="4.5" customHeight="1" x14ac:dyDescent="0.3"/>
    <row r="2" spans="2:130" s="25" customFormat="1" x14ac:dyDescent="0.3"/>
    <row r="3" spans="2:130" x14ac:dyDescent="0.3">
      <c r="B3" s="57"/>
      <c r="C3" s="57"/>
      <c r="E3" s="57" t="s">
        <v>16</v>
      </c>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row>
    <row r="4" spans="2:130" x14ac:dyDescent="0.3">
      <c r="B4" s="57"/>
      <c r="C4" s="57"/>
      <c r="D4" s="26" t="s">
        <v>118</v>
      </c>
      <c r="E4" s="26"/>
      <c r="F4" s="26"/>
      <c r="G4" s="26"/>
      <c r="H4" s="26"/>
      <c r="I4" s="26"/>
      <c r="J4" s="26"/>
      <c r="K4" s="26"/>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row>
    <row r="5" spans="2:130" x14ac:dyDescent="0.3">
      <c r="B5" s="58"/>
      <c r="C5" s="58"/>
      <c r="D5" s="101" t="s">
        <v>121</v>
      </c>
      <c r="E5" s="101"/>
      <c r="F5" s="101"/>
      <c r="G5" s="101"/>
      <c r="H5" s="101"/>
      <c r="I5" s="101"/>
      <c r="J5" s="101"/>
      <c r="K5" s="101"/>
      <c r="L5" s="101"/>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row>
    <row r="6" spans="2:130" x14ac:dyDescent="0.3">
      <c r="D6" s="102" t="s">
        <v>34</v>
      </c>
      <c r="E6" s="102"/>
      <c r="F6" s="102"/>
      <c r="G6" s="102"/>
      <c r="H6" s="102"/>
      <c r="I6" s="102"/>
      <c r="J6" s="102"/>
      <c r="K6" s="102"/>
      <c r="L6" s="102"/>
      <c r="AV6" s="13"/>
      <c r="AW6" s="13"/>
      <c r="AX6" s="13"/>
    </row>
    <row r="7" spans="2:130" x14ac:dyDescent="0.3">
      <c r="D7" s="98" t="s">
        <v>19</v>
      </c>
      <c r="E7" s="98"/>
      <c r="F7" s="51"/>
      <c r="G7" s="51"/>
      <c r="H7" s="51"/>
      <c r="I7" s="51"/>
      <c r="J7" s="51"/>
      <c r="K7" s="51"/>
    </row>
    <row r="8" spans="2:130" x14ac:dyDescent="0.3">
      <c r="J8" s="59"/>
    </row>
    <row r="9" spans="2:130" x14ac:dyDescent="0.3">
      <c r="B9" s="60"/>
      <c r="C9" s="60"/>
      <c r="D9" s="105" t="s">
        <v>6</v>
      </c>
      <c r="E9" s="105"/>
      <c r="F9" s="105"/>
      <c r="G9" s="105"/>
      <c r="H9" s="105"/>
      <c r="I9" s="105"/>
      <c r="J9" s="105"/>
      <c r="K9" s="105"/>
      <c r="L9" s="105"/>
      <c r="M9" s="105"/>
      <c r="N9" s="105"/>
      <c r="O9" s="105"/>
      <c r="P9" s="105" t="s">
        <v>13</v>
      </c>
      <c r="Q9" s="105"/>
      <c r="R9" s="105"/>
      <c r="S9" s="105"/>
      <c r="T9" s="105"/>
      <c r="U9" s="105"/>
      <c r="V9" s="105"/>
      <c r="W9" s="105"/>
      <c r="X9" s="105"/>
      <c r="Y9" s="105"/>
      <c r="Z9" s="105"/>
      <c r="AA9" s="105"/>
      <c r="AB9" s="105" t="s">
        <v>14</v>
      </c>
      <c r="AC9" s="105"/>
      <c r="AD9" s="105"/>
      <c r="AE9" s="105"/>
      <c r="AF9" s="105"/>
      <c r="AG9" s="105"/>
      <c r="AH9" s="105"/>
      <c r="AI9" s="105"/>
      <c r="AJ9" s="105"/>
      <c r="AK9" s="105"/>
      <c r="AL9" s="105"/>
      <c r="AM9" s="105"/>
      <c r="AN9" s="105" t="s">
        <v>15</v>
      </c>
      <c r="AO9" s="105"/>
      <c r="AP9" s="105"/>
      <c r="AQ9" s="105"/>
      <c r="AR9" s="105"/>
      <c r="AS9" s="105"/>
      <c r="AT9" s="105"/>
      <c r="AU9" s="105"/>
      <c r="AV9" s="105"/>
      <c r="AW9" s="105"/>
      <c r="AX9" s="105"/>
      <c r="AY9" s="105"/>
      <c r="AZ9" s="105" t="s">
        <v>67</v>
      </c>
      <c r="BA9" s="105"/>
      <c r="BB9" s="105"/>
      <c r="BC9" s="105"/>
      <c r="BD9" s="105"/>
      <c r="BE9" s="105"/>
      <c r="BF9" s="105"/>
      <c r="BG9" s="105"/>
      <c r="BH9" s="105"/>
      <c r="BI9" s="105"/>
      <c r="BJ9" s="105"/>
      <c r="BK9" s="105"/>
      <c r="BL9" s="105" t="s">
        <v>84</v>
      </c>
      <c r="BM9" s="105"/>
      <c r="BN9" s="105"/>
      <c r="BO9" s="105"/>
      <c r="BP9" s="105"/>
      <c r="BQ9" s="105"/>
      <c r="BR9" s="105"/>
      <c r="BS9" s="105"/>
      <c r="BT9" s="105"/>
      <c r="BU9" s="105"/>
      <c r="BV9" s="105"/>
      <c r="BW9" s="105"/>
      <c r="BX9" s="104" t="s">
        <v>87</v>
      </c>
      <c r="BY9" s="104"/>
      <c r="BZ9" s="104"/>
      <c r="CA9" s="104"/>
      <c r="CB9" s="104"/>
      <c r="CC9" s="104"/>
      <c r="CD9" s="104"/>
      <c r="CE9" s="104"/>
      <c r="CF9" s="104"/>
      <c r="CG9" s="104"/>
      <c r="CH9" s="104"/>
      <c r="CI9" s="104"/>
      <c r="CJ9" s="99" t="s">
        <v>93</v>
      </c>
      <c r="CK9" s="99"/>
      <c r="CL9" s="99"/>
      <c r="CM9" s="99"/>
      <c r="CN9" s="99"/>
      <c r="CO9" s="99"/>
      <c r="CP9" s="99"/>
      <c r="CQ9" s="99"/>
      <c r="CR9" s="99"/>
      <c r="CS9" s="99"/>
      <c r="CT9" s="99"/>
      <c r="CU9" s="99"/>
      <c r="CV9" s="106" t="s">
        <v>107</v>
      </c>
      <c r="CW9" s="107"/>
      <c r="CX9" s="107"/>
      <c r="CY9" s="107"/>
      <c r="CZ9" s="107"/>
      <c r="DA9" s="107"/>
      <c r="DB9" s="107"/>
      <c r="DC9" s="107"/>
      <c r="DD9" s="107"/>
      <c r="DE9" s="107"/>
      <c r="DF9" s="107"/>
      <c r="DG9" s="107"/>
      <c r="DH9" s="106" t="s">
        <v>116</v>
      </c>
      <c r="DI9" s="107"/>
      <c r="DJ9" s="107"/>
      <c r="DK9" s="107"/>
      <c r="DL9" s="107"/>
      <c r="DM9" s="107"/>
      <c r="DN9" s="107"/>
      <c r="DO9" s="107"/>
      <c r="DP9" s="107"/>
      <c r="DQ9" s="107"/>
      <c r="DR9" s="107"/>
      <c r="DS9" s="107"/>
      <c r="DT9" s="108" t="s">
        <v>119</v>
      </c>
      <c r="DU9" s="109"/>
      <c r="DV9" s="109"/>
      <c r="DW9" s="109"/>
      <c r="DX9" s="109"/>
      <c r="DY9" s="109"/>
      <c r="DZ9" s="109"/>
    </row>
    <row r="10" spans="2:130" ht="16.2" x14ac:dyDescent="0.3">
      <c r="B10" s="12"/>
      <c r="C10" s="12"/>
      <c r="D10" s="52" t="s">
        <v>41</v>
      </c>
      <c r="E10" s="52" t="s">
        <v>42</v>
      </c>
      <c r="F10" s="52" t="s">
        <v>43</v>
      </c>
      <c r="G10" s="52" t="s">
        <v>44</v>
      </c>
      <c r="H10" s="52" t="s">
        <v>45</v>
      </c>
      <c r="I10" s="52" t="s">
        <v>46</v>
      </c>
      <c r="J10" s="52" t="s">
        <v>47</v>
      </c>
      <c r="K10" s="52" t="s">
        <v>48</v>
      </c>
      <c r="L10" s="52" t="s">
        <v>49</v>
      </c>
      <c r="M10" s="52" t="s">
        <v>50</v>
      </c>
      <c r="N10" s="52" t="s">
        <v>51</v>
      </c>
      <c r="O10" s="52" t="s">
        <v>52</v>
      </c>
      <c r="P10" s="52" t="s">
        <v>41</v>
      </c>
      <c r="Q10" s="52" t="s">
        <v>42</v>
      </c>
      <c r="R10" s="52" t="s">
        <v>43</v>
      </c>
      <c r="S10" s="52" t="s">
        <v>44</v>
      </c>
      <c r="T10" s="52" t="s">
        <v>45</v>
      </c>
      <c r="U10" s="52" t="s">
        <v>46</v>
      </c>
      <c r="V10" s="52" t="s">
        <v>47</v>
      </c>
      <c r="W10" s="52" t="s">
        <v>48</v>
      </c>
      <c r="X10" s="52" t="s">
        <v>49</v>
      </c>
      <c r="Y10" s="52" t="s">
        <v>50</v>
      </c>
      <c r="Z10" s="52" t="s">
        <v>51</v>
      </c>
      <c r="AA10" s="52" t="s">
        <v>52</v>
      </c>
      <c r="AB10" s="52" t="s">
        <v>41</v>
      </c>
      <c r="AC10" s="52" t="s">
        <v>42</v>
      </c>
      <c r="AD10" s="52" t="s">
        <v>43</v>
      </c>
      <c r="AE10" s="52" t="s">
        <v>44</v>
      </c>
      <c r="AF10" s="52" t="s">
        <v>45</v>
      </c>
      <c r="AG10" s="52" t="s">
        <v>46</v>
      </c>
      <c r="AH10" s="52" t="s">
        <v>47</v>
      </c>
      <c r="AI10" s="52" t="s">
        <v>48</v>
      </c>
      <c r="AJ10" s="52" t="s">
        <v>49</v>
      </c>
      <c r="AK10" s="52" t="s">
        <v>50</v>
      </c>
      <c r="AL10" s="52" t="s">
        <v>51</v>
      </c>
      <c r="AM10" s="52" t="s">
        <v>52</v>
      </c>
      <c r="AN10" s="52" t="s">
        <v>10</v>
      </c>
      <c r="AO10" s="52" t="s">
        <v>0</v>
      </c>
      <c r="AP10" s="52" t="s">
        <v>7</v>
      </c>
      <c r="AQ10" s="52" t="s">
        <v>8</v>
      </c>
      <c r="AR10" s="52" t="s">
        <v>9</v>
      </c>
      <c r="AS10" s="52" t="s">
        <v>11</v>
      </c>
      <c r="AT10" s="52" t="s">
        <v>54</v>
      </c>
      <c r="AU10" s="52" t="s">
        <v>12</v>
      </c>
      <c r="AV10" s="52" t="s">
        <v>2</v>
      </c>
      <c r="AW10" s="52" t="s">
        <v>3</v>
      </c>
      <c r="AX10" s="52" t="s">
        <v>4</v>
      </c>
      <c r="AY10" s="54" t="s">
        <v>73</v>
      </c>
      <c r="AZ10" s="54" t="s">
        <v>10</v>
      </c>
      <c r="BA10" s="54" t="s">
        <v>0</v>
      </c>
      <c r="BB10" s="54" t="s">
        <v>7</v>
      </c>
      <c r="BC10" s="54" t="s">
        <v>8</v>
      </c>
      <c r="BD10" s="54" t="s">
        <v>76</v>
      </c>
      <c r="BE10" s="54" t="s">
        <v>53</v>
      </c>
      <c r="BF10" s="54" t="s">
        <v>1</v>
      </c>
      <c r="BG10" s="54" t="s">
        <v>12</v>
      </c>
      <c r="BH10" s="54" t="s">
        <v>2</v>
      </c>
      <c r="BI10" s="54" t="s">
        <v>3</v>
      </c>
      <c r="BJ10" s="54" t="s">
        <v>4</v>
      </c>
      <c r="BK10" s="54" t="s">
        <v>80</v>
      </c>
      <c r="BL10" s="54" t="s">
        <v>10</v>
      </c>
      <c r="BM10" s="54" t="s">
        <v>0</v>
      </c>
      <c r="BN10" s="54" t="s">
        <v>7</v>
      </c>
      <c r="BO10" s="54" t="s">
        <v>8</v>
      </c>
      <c r="BP10" s="54" t="s">
        <v>9</v>
      </c>
      <c r="BQ10" s="54" t="s">
        <v>11</v>
      </c>
      <c r="BR10" s="54" t="s">
        <v>1</v>
      </c>
      <c r="BS10" s="54" t="s">
        <v>12</v>
      </c>
      <c r="BT10" s="54" t="s">
        <v>2</v>
      </c>
      <c r="BU10" s="54" t="s">
        <v>3</v>
      </c>
      <c r="BV10" s="54" t="s">
        <v>4</v>
      </c>
      <c r="BW10" s="54" t="s">
        <v>5</v>
      </c>
      <c r="BX10" s="54" t="s">
        <v>10</v>
      </c>
      <c r="BY10" s="54" t="s">
        <v>0</v>
      </c>
      <c r="BZ10" s="54" t="s">
        <v>7</v>
      </c>
      <c r="CA10" s="54" t="s">
        <v>8</v>
      </c>
      <c r="CB10" s="54" t="s">
        <v>9</v>
      </c>
      <c r="CC10" s="54" t="s">
        <v>11</v>
      </c>
      <c r="CD10" s="54" t="s">
        <v>1</v>
      </c>
      <c r="CE10" s="54" t="s">
        <v>12</v>
      </c>
      <c r="CF10" s="54" t="s">
        <v>2</v>
      </c>
      <c r="CG10" s="54" t="s">
        <v>3</v>
      </c>
      <c r="CH10" s="54" t="s">
        <v>4</v>
      </c>
      <c r="CI10" s="54" t="s">
        <v>5</v>
      </c>
      <c r="CJ10" s="54" t="s">
        <v>10</v>
      </c>
      <c r="CK10" s="54" t="s">
        <v>0</v>
      </c>
      <c r="CL10" s="54" t="s">
        <v>7</v>
      </c>
      <c r="CM10" s="54" t="s">
        <v>100</v>
      </c>
      <c r="CN10" s="54" t="s">
        <v>99</v>
      </c>
      <c r="CO10" s="54" t="s">
        <v>11</v>
      </c>
      <c r="CP10" s="54" t="s">
        <v>1</v>
      </c>
      <c r="CQ10" s="54" t="s">
        <v>102</v>
      </c>
      <c r="CR10" s="54" t="s">
        <v>2</v>
      </c>
      <c r="CS10" s="54" t="s">
        <v>104</v>
      </c>
      <c r="CT10" s="54" t="s">
        <v>4</v>
      </c>
      <c r="CU10" s="54" t="s">
        <v>5</v>
      </c>
      <c r="CV10" s="54" t="s">
        <v>106</v>
      </c>
      <c r="CW10" s="54" t="s">
        <v>108</v>
      </c>
      <c r="CX10" s="54" t="s">
        <v>110</v>
      </c>
      <c r="CY10" s="54" t="s">
        <v>113</v>
      </c>
      <c r="CZ10" s="54" t="s">
        <v>9</v>
      </c>
      <c r="DA10" s="54" t="s">
        <v>11</v>
      </c>
      <c r="DB10" s="54" t="s">
        <v>1</v>
      </c>
      <c r="DC10" s="54" t="s">
        <v>12</v>
      </c>
      <c r="DD10" s="54" t="s">
        <v>2</v>
      </c>
      <c r="DE10" s="54" t="s">
        <v>115</v>
      </c>
      <c r="DF10" s="54" t="s">
        <v>4</v>
      </c>
      <c r="DG10" s="54" t="s">
        <v>5</v>
      </c>
      <c r="DH10" s="54" t="s">
        <v>10</v>
      </c>
      <c r="DI10" s="54" t="s">
        <v>0</v>
      </c>
      <c r="DJ10" s="54" t="s">
        <v>7</v>
      </c>
      <c r="DK10" s="54" t="s">
        <v>8</v>
      </c>
      <c r="DL10" s="54" t="s">
        <v>9</v>
      </c>
      <c r="DM10" s="54" t="s">
        <v>11</v>
      </c>
      <c r="DN10" s="54" t="s">
        <v>1</v>
      </c>
      <c r="DO10" s="55" t="s">
        <v>12</v>
      </c>
      <c r="DP10" s="83" t="s">
        <v>2</v>
      </c>
      <c r="DQ10" s="84" t="s">
        <v>3</v>
      </c>
      <c r="DR10" s="85" t="s">
        <v>4</v>
      </c>
      <c r="DS10" s="86" t="s">
        <v>5</v>
      </c>
      <c r="DT10" s="87" t="s">
        <v>10</v>
      </c>
      <c r="DU10" s="88" t="s">
        <v>0</v>
      </c>
      <c r="DV10" s="89" t="s">
        <v>7</v>
      </c>
      <c r="DW10" s="90" t="s">
        <v>8</v>
      </c>
      <c r="DX10" s="91" t="s">
        <v>9</v>
      </c>
      <c r="DY10" s="92" t="s">
        <v>11</v>
      </c>
      <c r="DZ10" s="93" t="s">
        <v>1</v>
      </c>
    </row>
    <row r="11" spans="2:130" x14ac:dyDescent="0.3">
      <c r="B11" s="36">
        <v>1</v>
      </c>
      <c r="C11" s="37" t="s">
        <v>20</v>
      </c>
      <c r="D11" s="61">
        <v>636435.14507999993</v>
      </c>
      <c r="E11" s="61">
        <v>651443.48765000002</v>
      </c>
      <c r="F11" s="61">
        <v>665837.30559</v>
      </c>
      <c r="G11" s="61">
        <v>680717.65462000004</v>
      </c>
      <c r="H11" s="61">
        <v>695180.48152999999</v>
      </c>
      <c r="I11" s="61">
        <v>709810.73713999998</v>
      </c>
      <c r="J11" s="61">
        <v>724477.30945000006</v>
      </c>
      <c r="K11" s="61">
        <v>739242.08759000001</v>
      </c>
      <c r="L11" s="61">
        <v>754121.22584000009</v>
      </c>
      <c r="M11" s="61">
        <v>769171.77506999997</v>
      </c>
      <c r="N11" s="61">
        <v>783159.57817999995</v>
      </c>
      <c r="O11" s="61">
        <v>795749.99976999999</v>
      </c>
      <c r="P11" s="61">
        <v>811730.34299999999</v>
      </c>
      <c r="Q11" s="61">
        <v>828660.7220200001</v>
      </c>
      <c r="R11" s="61">
        <v>768056.9124899999</v>
      </c>
      <c r="S11" s="61">
        <v>783463.96006000007</v>
      </c>
      <c r="T11" s="61">
        <v>797083.79955</v>
      </c>
      <c r="U11" s="61">
        <v>798518.66322999995</v>
      </c>
      <c r="V11" s="61">
        <v>799913.42927999992</v>
      </c>
      <c r="W11" s="61">
        <v>841492.91809000005</v>
      </c>
      <c r="X11" s="61">
        <v>842846.64267000009</v>
      </c>
      <c r="Y11" s="61">
        <v>871560.75478000008</v>
      </c>
      <c r="Z11" s="61">
        <v>886787.64746000001</v>
      </c>
      <c r="AA11" s="61">
        <v>902411.81455000001</v>
      </c>
      <c r="AB11" s="61">
        <v>923467.52627999999</v>
      </c>
      <c r="AC11" s="61">
        <v>925014.45889000001</v>
      </c>
      <c r="AD11" s="61">
        <v>950392.83270999999</v>
      </c>
      <c r="AE11" s="61">
        <v>966851.45559999987</v>
      </c>
      <c r="AF11" s="61">
        <v>982878.39644999988</v>
      </c>
      <c r="AG11" s="61">
        <v>998510.68111</v>
      </c>
      <c r="AH11" s="61">
        <v>1014031.43743</v>
      </c>
      <c r="AI11" s="61">
        <v>1029436.1723000001</v>
      </c>
      <c r="AJ11" s="61">
        <v>1044331.43273</v>
      </c>
      <c r="AK11" s="61">
        <v>1059447.3496099999</v>
      </c>
      <c r="AL11" s="61">
        <v>1074241.9699600001</v>
      </c>
      <c r="AM11" s="61">
        <v>1089164.0474200002</v>
      </c>
      <c r="AN11" s="61">
        <v>1103960.7059599999</v>
      </c>
      <c r="AO11" s="61">
        <v>1118847.7017000001</v>
      </c>
      <c r="AP11" s="61">
        <v>1133986.6404499998</v>
      </c>
      <c r="AQ11" s="61">
        <v>1148931.5014099998</v>
      </c>
      <c r="AR11" s="61">
        <v>1164347.5440400001</v>
      </c>
      <c r="AS11" s="61">
        <v>1179449.0116499998</v>
      </c>
      <c r="AT11" s="61">
        <v>1194630.2210200001</v>
      </c>
      <c r="AU11" s="61">
        <v>1179531.9924600001</v>
      </c>
      <c r="AV11" s="61">
        <f>+SUM(AV12:AV14)</f>
        <v>1194551.8299700001</v>
      </c>
      <c r="AW11" s="61">
        <f>+SUM(AW12:AW14)</f>
        <v>1209838.5172600001</v>
      </c>
      <c r="AX11" s="61">
        <f>+SUM(AX12:AX14)</f>
        <v>1225577.43805</v>
      </c>
      <c r="AY11" s="61">
        <f>+SUM(AY12:AY14)</f>
        <v>1197800.3924400001</v>
      </c>
      <c r="AZ11" s="61">
        <f>+SUM(AZ12:AZ14)</f>
        <v>1213442.0610199999</v>
      </c>
      <c r="BA11" s="61">
        <v>1229444.6391299998</v>
      </c>
      <c r="BB11" s="61">
        <v>1245360.7330999998</v>
      </c>
      <c r="BC11" s="61">
        <v>1262584.4959699998</v>
      </c>
      <c r="BD11" s="61">
        <v>1279937.51254</v>
      </c>
      <c r="BE11" s="61">
        <v>1296008.8001900001</v>
      </c>
      <c r="BF11" s="61">
        <v>1312274.5456300001</v>
      </c>
      <c r="BG11" s="61">
        <v>1328385.45297</v>
      </c>
      <c r="BH11" s="61">
        <v>1342944.1030899999</v>
      </c>
      <c r="BI11" s="61">
        <v>1360663.9186799999</v>
      </c>
      <c r="BJ11" s="61">
        <v>1376805.8597899999</v>
      </c>
      <c r="BK11" s="61">
        <v>1393225.2643900001</v>
      </c>
      <c r="BL11" s="61">
        <v>1410237.4894400002</v>
      </c>
      <c r="BM11" s="27">
        <v>1411955.8651700001</v>
      </c>
      <c r="BN11" s="27">
        <v>1444069.6809400001</v>
      </c>
      <c r="BO11" s="27">
        <v>1461313.58042</v>
      </c>
      <c r="BP11" s="27">
        <v>1478656.3438599999</v>
      </c>
      <c r="BQ11" s="27">
        <v>1495840.7882800002</v>
      </c>
      <c r="BR11" s="27">
        <v>1513048.9860499999</v>
      </c>
      <c r="BS11" s="27">
        <v>1532223.58503</v>
      </c>
      <c r="BT11" s="27">
        <v>1549502.0656700002</v>
      </c>
      <c r="BU11" s="27">
        <v>1566925.2701000001</v>
      </c>
      <c r="BV11" s="27">
        <v>1569260.7803900002</v>
      </c>
      <c r="BW11" s="27">
        <v>1601745.4601299998</v>
      </c>
      <c r="BX11" s="27">
        <v>1619834.0215400001</v>
      </c>
      <c r="BY11" s="27">
        <v>1637664.57708</v>
      </c>
      <c r="BZ11" s="27">
        <v>1655935.1717600001</v>
      </c>
      <c r="CA11" s="27">
        <v>1674575.49086</v>
      </c>
      <c r="CB11" s="27">
        <v>1693549.4158899998</v>
      </c>
      <c r="CC11" s="27">
        <v>1712221.4358099999</v>
      </c>
      <c r="CD11" s="27">
        <v>1731301.1301</v>
      </c>
      <c r="CE11" s="27">
        <v>1750400.0898899999</v>
      </c>
      <c r="CF11" s="27">
        <v>1769607.1617900003</v>
      </c>
      <c r="CG11" s="27">
        <v>1788866.5146700002</v>
      </c>
      <c r="CH11" s="27">
        <v>1808389.2468300001</v>
      </c>
      <c r="CI11" s="27">
        <v>1828012.2525899999</v>
      </c>
      <c r="CJ11" s="28">
        <v>1831676.1474200001</v>
      </c>
      <c r="CK11" s="28">
        <v>1868602.3808199998</v>
      </c>
      <c r="CL11" s="28">
        <v>1889258.61063</v>
      </c>
      <c r="CM11" s="28">
        <v>1892867.0568599999</v>
      </c>
      <c r="CN11" s="28">
        <v>1896613.76088</v>
      </c>
      <c r="CO11" s="28">
        <v>1900274.9823999999</v>
      </c>
      <c r="CP11" s="28">
        <v>1971267.99235</v>
      </c>
      <c r="CQ11" s="28">
        <v>1991946.6883999999</v>
      </c>
      <c r="CR11" s="27">
        <v>2012785.7575719999</v>
      </c>
      <c r="CS11" s="27">
        <v>2033976.0169199998</v>
      </c>
      <c r="CT11" s="27">
        <v>2055305.09828</v>
      </c>
      <c r="CU11" s="27">
        <v>2076820.70086</v>
      </c>
      <c r="CV11" s="27">
        <v>2080456.9822199999</v>
      </c>
      <c r="CW11" s="27">
        <v>2083863.35415</v>
      </c>
      <c r="CX11" s="27">
        <v>2087518.98447</v>
      </c>
      <c r="CY11" s="27">
        <f>2137932366.08/1000</f>
        <v>2137932.3660800001</v>
      </c>
      <c r="CZ11" s="27">
        <f>2178880288.68/1000</f>
        <v>2178880.2886799998</v>
      </c>
      <c r="DA11" s="27">
        <f>2202939304.09/1000</f>
        <v>2202939.3040900002</v>
      </c>
      <c r="DB11" s="27">
        <v>2208951.0135500003</v>
      </c>
      <c r="DC11" s="27">
        <f>2254050701.72/1000</f>
        <v>2254050.7017199998</v>
      </c>
      <c r="DD11" s="27">
        <f>2279051853.62/1000</f>
        <v>2279051.8536199997</v>
      </c>
      <c r="DE11" s="27">
        <f>2284210557.07/1000</f>
        <v>2284210.5570700001</v>
      </c>
      <c r="DF11" s="27">
        <v>2328175.7913099998</v>
      </c>
      <c r="DG11" s="27">
        <f>2353587111.45/1000</f>
        <v>2353587.1114499997</v>
      </c>
      <c r="DH11" s="27">
        <v>2378997.7889700001</v>
      </c>
      <c r="DI11" s="27">
        <v>2404937.0775600001</v>
      </c>
      <c r="DJ11" s="27">
        <v>2431020.62255</v>
      </c>
      <c r="DK11" s="27">
        <v>2455594.3045499995</v>
      </c>
      <c r="DL11" s="27">
        <v>2465809.0337899993</v>
      </c>
      <c r="DM11" s="27">
        <v>2501317.3745500003</v>
      </c>
      <c r="DN11" s="27">
        <v>2528686.0129799997</v>
      </c>
      <c r="DO11" s="27">
        <v>2554005.3102100003</v>
      </c>
      <c r="DP11" s="27">
        <v>2580797.0732199997</v>
      </c>
      <c r="DQ11" s="27">
        <v>2583546.1749</v>
      </c>
      <c r="DR11" s="27">
        <v>2593548.1364099998</v>
      </c>
      <c r="DS11" s="27">
        <v>2604814.4384600003</v>
      </c>
      <c r="DT11" s="27">
        <v>2617290.8676000005</v>
      </c>
      <c r="DU11" s="27">
        <v>2630174.9015600006</v>
      </c>
      <c r="DV11" s="27">
        <v>2645764.7163400003</v>
      </c>
      <c r="DW11" s="27">
        <v>2659433.3256899994</v>
      </c>
      <c r="DX11" s="27">
        <v>2673229.84834</v>
      </c>
      <c r="DY11" s="27">
        <f>2686641019.7/1000</f>
        <v>2686641.0196999996</v>
      </c>
      <c r="DZ11" s="27">
        <v>2700393.2735000001</v>
      </c>
    </row>
    <row r="12" spans="2:130" x14ac:dyDescent="0.3">
      <c r="B12" s="36" t="s">
        <v>21</v>
      </c>
      <c r="C12" s="38" t="s">
        <v>22</v>
      </c>
      <c r="D12" s="62">
        <v>82267.310689999998</v>
      </c>
      <c r="E12" s="62">
        <v>95644.748550000004</v>
      </c>
      <c r="F12" s="62">
        <v>63609.145409999997</v>
      </c>
      <c r="G12" s="62">
        <v>77278.168839999998</v>
      </c>
      <c r="H12" s="62">
        <v>70683.166920000003</v>
      </c>
      <c r="I12" s="62">
        <v>108866.78129000001</v>
      </c>
      <c r="J12" s="62">
        <v>122446.52501000001</v>
      </c>
      <c r="K12" s="62">
        <v>136088.70791</v>
      </c>
      <c r="L12" s="62">
        <v>149885.64587000001</v>
      </c>
      <c r="M12" s="62">
        <v>163950.64999000001</v>
      </c>
      <c r="N12" s="62">
        <v>176754.52502</v>
      </c>
      <c r="O12" s="62">
        <v>153725.35096000001</v>
      </c>
      <c r="P12" s="62">
        <v>168358.64885</v>
      </c>
      <c r="Q12" s="62">
        <v>206544.89812</v>
      </c>
      <c r="R12" s="62">
        <v>164561.08113999999</v>
      </c>
      <c r="S12" s="62">
        <v>178313.57450999998</v>
      </c>
      <c r="T12" s="62">
        <v>146523.53702000002</v>
      </c>
      <c r="U12" s="62">
        <v>131523.43703</v>
      </c>
      <c r="V12" s="62">
        <v>131410.44837999999</v>
      </c>
      <c r="W12" s="62">
        <v>213391.50753</v>
      </c>
      <c r="X12" s="62">
        <v>252155.75652000002</v>
      </c>
      <c r="Y12" s="62">
        <v>244032.14098</v>
      </c>
      <c r="Z12" s="62">
        <v>149875.58807</v>
      </c>
      <c r="AA12" s="62">
        <v>167072.74562999999</v>
      </c>
      <c r="AB12" s="62">
        <v>153478.30375999998</v>
      </c>
      <c r="AC12" s="62">
        <v>153463.48387999999</v>
      </c>
      <c r="AD12" s="62">
        <v>129549.71170999999</v>
      </c>
      <c r="AE12" s="62">
        <v>127297.8238</v>
      </c>
      <c r="AF12" s="62">
        <v>156376.05927999999</v>
      </c>
      <c r="AG12" s="62">
        <v>165295.18136000002</v>
      </c>
      <c r="AH12" s="62">
        <v>168529.39755000002</v>
      </c>
      <c r="AI12" s="62">
        <v>148469.75963999997</v>
      </c>
      <c r="AJ12" s="62">
        <v>164161.15328</v>
      </c>
      <c r="AK12" s="62">
        <v>119198.9458</v>
      </c>
      <c r="AL12" s="62">
        <v>134197.21460000001</v>
      </c>
      <c r="AM12" s="62">
        <v>178984.46734</v>
      </c>
      <c r="AN12" s="62">
        <v>108760.71143000001</v>
      </c>
      <c r="AO12" s="62">
        <v>123925.60193</v>
      </c>
      <c r="AP12" s="62">
        <v>188017.13336000001</v>
      </c>
      <c r="AQ12" s="62">
        <v>226893.73083000001</v>
      </c>
      <c r="AR12" s="62">
        <v>223525.72390000001</v>
      </c>
      <c r="AS12" s="62">
        <v>272652.75477</v>
      </c>
      <c r="AT12" s="62">
        <v>322877.88308999996</v>
      </c>
      <c r="AU12" s="62">
        <v>334170.73911000002</v>
      </c>
      <c r="AV12" s="62">
        <v>353408.83344000002</v>
      </c>
      <c r="AW12" s="62">
        <v>405192.56348000001</v>
      </c>
      <c r="AX12" s="62">
        <v>423379.71707999997</v>
      </c>
      <c r="AY12" s="62">
        <v>437355.17479000002</v>
      </c>
      <c r="AZ12" s="62">
        <v>447031.03988</v>
      </c>
      <c r="BA12" s="62">
        <v>464814.24789999996</v>
      </c>
      <c r="BB12" s="62">
        <v>482021.53249999997</v>
      </c>
      <c r="BC12" s="62">
        <v>498216.65924000001</v>
      </c>
      <c r="BD12" s="62">
        <v>463962.32991000003</v>
      </c>
      <c r="BE12" s="62">
        <v>471965.74362000002</v>
      </c>
      <c r="BF12" s="62">
        <v>488926.60933999997</v>
      </c>
      <c r="BG12" s="62">
        <v>507267.36082</v>
      </c>
      <c r="BH12" s="62">
        <v>460764.34097999998</v>
      </c>
      <c r="BI12" s="62">
        <v>476951.57207999995</v>
      </c>
      <c r="BJ12" s="62">
        <v>486342.88150000002</v>
      </c>
      <c r="BK12" s="62">
        <v>384793.37868999998</v>
      </c>
      <c r="BL12" s="62">
        <v>384763.12475999998</v>
      </c>
      <c r="BM12" s="29">
        <v>503021.49484</v>
      </c>
      <c r="BN12" s="29">
        <v>535000.63416999998</v>
      </c>
      <c r="BO12" s="29">
        <v>535492.66917999997</v>
      </c>
      <c r="BP12" s="29">
        <v>449734.87079999998</v>
      </c>
      <c r="BQ12" s="29">
        <v>459493.29152999999</v>
      </c>
      <c r="BR12" s="29">
        <v>476153.10371</v>
      </c>
      <c r="BS12" s="29">
        <v>496312.93964</v>
      </c>
      <c r="BT12" s="29">
        <v>513062.18292999995</v>
      </c>
      <c r="BU12" s="29">
        <v>529515.24488000001</v>
      </c>
      <c r="BV12" s="29">
        <v>466603.26483</v>
      </c>
      <c r="BW12" s="29">
        <v>435443.05454999994</v>
      </c>
      <c r="BX12" s="29">
        <v>389830.81637000002</v>
      </c>
      <c r="BY12" s="29">
        <v>406540.08568999998</v>
      </c>
      <c r="BZ12" s="29">
        <v>368707.42454999994</v>
      </c>
      <c r="CA12" s="29">
        <v>354655.49539999996</v>
      </c>
      <c r="CB12" s="29">
        <v>380488.87981000001</v>
      </c>
      <c r="CC12" s="29">
        <v>375882.32060999994</v>
      </c>
      <c r="CD12" s="29">
        <v>342252.91260999994</v>
      </c>
      <c r="CE12" s="29">
        <v>323785.21476</v>
      </c>
      <c r="CF12" s="29">
        <v>220474.22445000001</v>
      </c>
      <c r="CG12" s="29">
        <v>297796.68116999994</v>
      </c>
      <c r="CH12" s="29">
        <v>372773.12770000001</v>
      </c>
      <c r="CI12" s="29">
        <v>291214.01898999995</v>
      </c>
      <c r="CJ12" s="30">
        <v>295420.70744999999</v>
      </c>
      <c r="CK12" s="30">
        <v>349802.96291999996</v>
      </c>
      <c r="CL12" s="30">
        <v>355240.27038</v>
      </c>
      <c r="CM12" s="30">
        <v>375238.07506</v>
      </c>
      <c r="CN12" s="30">
        <v>318849.53978999995</v>
      </c>
      <c r="CO12" s="30">
        <v>324401.98475999996</v>
      </c>
      <c r="CP12" s="30">
        <v>341248.32103999995</v>
      </c>
      <c r="CQ12" s="30">
        <v>409742.92074999999</v>
      </c>
      <c r="CR12" s="29">
        <v>364778.96336200001</v>
      </c>
      <c r="CS12" s="29">
        <v>394686.76133000001</v>
      </c>
      <c r="CT12" s="29">
        <v>374141.75066000002</v>
      </c>
      <c r="CU12" s="29">
        <v>400472.19186999998</v>
      </c>
      <c r="CV12" s="29">
        <v>426270.74610000005</v>
      </c>
      <c r="CW12" s="29">
        <v>439057.46064999996</v>
      </c>
      <c r="CX12" s="29">
        <v>410025.96547000005</v>
      </c>
      <c r="CY12" s="29">
        <f>436915785.19/1000</f>
        <v>436915.78519000002</v>
      </c>
      <c r="CZ12" s="29">
        <f>469479994.96/1000</f>
        <v>469479.99495999998</v>
      </c>
      <c r="DA12" s="29">
        <f>467046665.09/1000</f>
        <v>467046.66508999997</v>
      </c>
      <c r="DB12" s="29">
        <v>368707.35384</v>
      </c>
      <c r="DC12" s="29">
        <f>388440590.79/1000</f>
        <v>388440.59079000005</v>
      </c>
      <c r="DD12" s="29">
        <f>406988976.36/1000</f>
        <v>406988.97636000003</v>
      </c>
      <c r="DE12" s="29">
        <f>553134928.23/1000</f>
        <v>553134.92822999996</v>
      </c>
      <c r="DF12" s="29">
        <v>445155.69293000002</v>
      </c>
      <c r="DG12" s="29">
        <f>376186029.34/1000</f>
        <v>376186.02933999995</v>
      </c>
      <c r="DH12" s="29">
        <v>400374.48502999998</v>
      </c>
      <c r="DI12" s="29">
        <v>386709.88539999997</v>
      </c>
      <c r="DJ12" s="29">
        <v>441087.0503</v>
      </c>
      <c r="DK12" s="29">
        <v>329197.46869999997</v>
      </c>
      <c r="DL12" s="29">
        <v>57416.779869999998</v>
      </c>
      <c r="DM12" s="29">
        <v>83864.578540000002</v>
      </c>
      <c r="DN12" s="29">
        <v>40775.903720000002</v>
      </c>
      <c r="DO12" s="29">
        <v>153904.40153</v>
      </c>
      <c r="DP12" s="29">
        <v>107637.40893000001</v>
      </c>
      <c r="DQ12" s="29">
        <v>111362.8161</v>
      </c>
      <c r="DR12" s="29">
        <v>94940.518060000002</v>
      </c>
      <c r="DS12" s="29">
        <v>144898.70084</v>
      </c>
      <c r="DT12" s="29">
        <v>124736.93357999998</v>
      </c>
      <c r="DU12" s="29">
        <v>60659.86073</v>
      </c>
      <c r="DV12" s="29">
        <v>79831.985099999991</v>
      </c>
      <c r="DW12" s="29">
        <v>74631.104470000006</v>
      </c>
      <c r="DX12" s="29">
        <v>85806.125400000004</v>
      </c>
      <c r="DY12" s="29">
        <v>85838.469389999998</v>
      </c>
      <c r="DZ12" s="29">
        <v>97049.352350000001</v>
      </c>
    </row>
    <row r="13" spans="2:130" x14ac:dyDescent="0.3">
      <c r="B13" s="36" t="s">
        <v>23</v>
      </c>
      <c r="C13" s="38" t="s">
        <v>24</v>
      </c>
      <c r="D13" s="62">
        <v>550720.20340999996</v>
      </c>
      <c r="E13" s="62">
        <v>553326.11474999995</v>
      </c>
      <c r="F13" s="62">
        <v>543309.23707000003</v>
      </c>
      <c r="G13" s="62">
        <v>547201.95973999996</v>
      </c>
      <c r="H13" s="62">
        <v>568538.88288000005</v>
      </c>
      <c r="I13" s="62">
        <v>544807.60732000007</v>
      </c>
      <c r="J13" s="62">
        <v>545646.05109000008</v>
      </c>
      <c r="K13" s="62">
        <v>546663.87086000002</v>
      </c>
      <c r="L13" s="62">
        <v>547884.67949000001</v>
      </c>
      <c r="M13" s="62">
        <v>548913.74315999995</v>
      </c>
      <c r="N13" s="62">
        <v>550044.54960999999</v>
      </c>
      <c r="O13" s="62">
        <v>585288.81816999998</v>
      </c>
      <c r="P13" s="62">
        <v>586251.40966</v>
      </c>
      <c r="Q13" s="62">
        <v>565093.54545000009</v>
      </c>
      <c r="R13" s="62">
        <v>546197.03229999996</v>
      </c>
      <c r="S13" s="62">
        <v>547306.88320000004</v>
      </c>
      <c r="T13" s="62">
        <v>594117.19726000004</v>
      </c>
      <c r="U13" s="62">
        <v>610772.89928999997</v>
      </c>
      <c r="V13" s="62">
        <v>611742.04911999998</v>
      </c>
      <c r="W13" s="62">
        <v>570730.99398000003</v>
      </c>
      <c r="X13" s="62">
        <v>530770.80404000008</v>
      </c>
      <c r="Y13" s="62">
        <v>566880.69244000001</v>
      </c>
      <c r="Z13" s="62">
        <v>676116.24284000008</v>
      </c>
      <c r="AA13" s="62">
        <v>677803.53738999995</v>
      </c>
      <c r="AB13" s="62">
        <v>717319.21160000004</v>
      </c>
      <c r="AC13" s="62">
        <v>719207.13491000002</v>
      </c>
      <c r="AD13" s="62">
        <v>774368.52885999996</v>
      </c>
      <c r="AE13" s="62">
        <v>793447.48626999999</v>
      </c>
      <c r="AF13" s="62">
        <v>781803.13405999995</v>
      </c>
      <c r="AG13" s="62">
        <v>788036.95713999995</v>
      </c>
      <c r="AH13" s="62">
        <v>791774.29459000006</v>
      </c>
      <c r="AI13" s="62">
        <v>834965.95144000009</v>
      </c>
      <c r="AJ13" s="62">
        <v>834184.06357</v>
      </c>
      <c r="AK13" s="62">
        <v>894754.50977</v>
      </c>
      <c r="AL13" s="62">
        <v>894572.16312000004</v>
      </c>
      <c r="AM13" s="62">
        <v>865260.13364000001</v>
      </c>
      <c r="AN13" s="62">
        <v>950503.74511000002</v>
      </c>
      <c r="AO13" s="62">
        <v>950474.42520000006</v>
      </c>
      <c r="AP13" s="62">
        <v>901314.35104999994</v>
      </c>
      <c r="AQ13" s="62">
        <v>877785.58854999999</v>
      </c>
      <c r="AR13" s="62">
        <v>896652.84236000001</v>
      </c>
      <c r="AS13" s="62">
        <v>862041.35265999998</v>
      </c>
      <c r="AT13" s="62">
        <v>827506.28520000004</v>
      </c>
      <c r="AU13" s="62">
        <v>801052.67521999998</v>
      </c>
      <c r="AV13" s="62">
        <v>797088.49936999998</v>
      </c>
      <c r="AW13" s="62">
        <v>759955.62233000004</v>
      </c>
      <c r="AX13" s="62">
        <v>756949.18538000004</v>
      </c>
      <c r="AY13" s="62">
        <v>757902.54842000001</v>
      </c>
      <c r="AZ13" s="62">
        <v>764899.95952999999</v>
      </c>
      <c r="BA13" s="62">
        <v>762776.43986000004</v>
      </c>
      <c r="BB13" s="62">
        <v>762553.55697999999</v>
      </c>
      <c r="BC13" s="62">
        <v>763036.90813</v>
      </c>
      <c r="BD13" s="62">
        <v>814080.89353999996</v>
      </c>
      <c r="BE13" s="62">
        <v>821710.98361</v>
      </c>
      <c r="BF13" s="62">
        <v>822111.80964999995</v>
      </c>
      <c r="BG13" s="62">
        <v>819583.51170000003</v>
      </c>
      <c r="BH13" s="62">
        <v>881368.98638999998</v>
      </c>
      <c r="BI13" s="62">
        <v>882454.87722999998</v>
      </c>
      <c r="BJ13" s="62">
        <v>888917.21273000003</v>
      </c>
      <c r="BK13" s="62">
        <v>1006741.148</v>
      </c>
      <c r="BL13" s="62">
        <v>1023123.34791</v>
      </c>
      <c r="BM13" s="29">
        <v>906057.27969000011</v>
      </c>
      <c r="BN13" s="29">
        <v>906448.21269000007</v>
      </c>
      <c r="BO13" s="29">
        <v>923029.34898000001</v>
      </c>
      <c r="BP13" s="29">
        <v>1025784.9179400001</v>
      </c>
      <c r="BQ13" s="29">
        <v>1032919.35158</v>
      </c>
      <c r="BR13" s="29">
        <v>1032929.1063</v>
      </c>
      <c r="BS13" s="29">
        <v>1032124.7835700001</v>
      </c>
      <c r="BT13" s="29">
        <v>1032998.22497</v>
      </c>
      <c r="BU13" s="29">
        <v>1033275.03204</v>
      </c>
      <c r="BV13" s="29">
        <v>1097837.83715</v>
      </c>
      <c r="BW13" s="29">
        <v>1161653.8792699999</v>
      </c>
      <c r="BX13" s="29">
        <v>1225726.77128</v>
      </c>
      <c r="BY13" s="29">
        <v>1225925.1495699999</v>
      </c>
      <c r="BZ13" s="29">
        <v>1283425.49615</v>
      </c>
      <c r="CA13" s="29">
        <v>1315277.5569000002</v>
      </c>
      <c r="CB13" s="29">
        <v>1307569.3617400001</v>
      </c>
      <c r="CC13" s="29">
        <v>1329922.4157</v>
      </c>
      <c r="CD13" s="29">
        <v>1381351.26988</v>
      </c>
      <c r="CE13" s="29">
        <v>1418177.5518699999</v>
      </c>
      <c r="CF13" s="29">
        <v>1541245.8051400001</v>
      </c>
      <c r="CG13" s="29">
        <v>1482811.1966900001</v>
      </c>
      <c r="CH13" s="29">
        <v>1426104.6087400001</v>
      </c>
      <c r="CI13" s="29">
        <v>1528378.0422400001</v>
      </c>
      <c r="CJ13" s="30">
        <v>1529801.26905</v>
      </c>
      <c r="CK13" s="30">
        <v>1510936.9513699999</v>
      </c>
      <c r="CL13" s="30">
        <v>1527164.5816500001</v>
      </c>
      <c r="CM13" s="30">
        <v>1510850.7315</v>
      </c>
      <c r="CN13" s="30">
        <v>1569217.7620899999</v>
      </c>
      <c r="CO13" s="30">
        <v>1565864.30782</v>
      </c>
      <c r="CP13" s="30">
        <v>1618971.8358499999</v>
      </c>
      <c r="CQ13" s="30">
        <v>1571110.58479</v>
      </c>
      <c r="CR13" s="29">
        <v>1635276.29421</v>
      </c>
      <c r="CS13" s="29">
        <v>1625081.0957799999</v>
      </c>
      <c r="CT13" s="29">
        <v>1665345.6938</v>
      </c>
      <c r="CU13" s="29">
        <v>1664631.65613</v>
      </c>
      <c r="CV13" s="29">
        <v>1645364.5105999999</v>
      </c>
      <c r="CW13" s="29">
        <v>1634933.2448800001</v>
      </c>
      <c r="CX13" s="29">
        <v>1669670.35405</v>
      </c>
      <c r="CY13" s="29">
        <f>1695085621.98/1000</f>
        <v>1695085.6219800001</v>
      </c>
      <c r="CZ13" s="29">
        <f>1700755442.85/1000</f>
        <v>1700755.44285</v>
      </c>
      <c r="DA13" s="29">
        <f>1724312134.28/1000</f>
        <v>1724312.1342799999</v>
      </c>
      <c r="DB13" s="29">
        <v>1828111.7251800001</v>
      </c>
      <c r="DC13" s="29">
        <f>1851529430.53/1000</f>
        <v>1851529.43053</v>
      </c>
      <c r="DD13" s="29">
        <f>1855106940.83/1000</f>
        <v>1855106.94083</v>
      </c>
      <c r="DE13" s="29">
        <f>1718309405.82/1000</f>
        <v>1718309.40582</v>
      </c>
      <c r="DF13" s="29">
        <v>1867899.7801099999</v>
      </c>
      <c r="DG13" s="29">
        <f>1963102970.53/1000</f>
        <v>1963102.97053</v>
      </c>
      <c r="DH13" s="29">
        <v>1966170.8148099999</v>
      </c>
      <c r="DI13" s="29">
        <v>2002904.12531</v>
      </c>
      <c r="DJ13" s="29">
        <v>1971610.1098900002</v>
      </c>
      <c r="DK13" s="29">
        <v>2116621.3884200002</v>
      </c>
      <c r="DL13" s="29">
        <v>2396247.64445</v>
      </c>
      <c r="DM13" s="29">
        <v>2404856.6130300001</v>
      </c>
      <c r="DN13" s="29">
        <v>2471386.1756599997</v>
      </c>
      <c r="DO13" s="29">
        <v>2382825.0485799997</v>
      </c>
      <c r="DP13" s="29">
        <v>2452379.9209199999</v>
      </c>
      <c r="DQ13" s="29">
        <v>2453222.8659000001</v>
      </c>
      <c r="DR13" s="29">
        <v>2480711.72927</v>
      </c>
      <c r="DS13" s="29">
        <v>2443113.5208100001</v>
      </c>
      <c r="DT13" s="29">
        <v>2477441.2066600001</v>
      </c>
      <c r="DU13" s="29">
        <v>2552479.8710100004</v>
      </c>
      <c r="DV13" s="29">
        <v>2546652.5847300002</v>
      </c>
      <c r="DW13" s="29">
        <v>2565859.1110200002</v>
      </c>
      <c r="DX13" s="29">
        <v>2568169.03186</v>
      </c>
      <c r="DY13" s="29">
        <v>2577311.4808</v>
      </c>
      <c r="DZ13" s="29">
        <v>2578452.2583300001</v>
      </c>
    </row>
    <row r="14" spans="2:130" x14ac:dyDescent="0.3">
      <c r="B14" s="36" t="s">
        <v>25</v>
      </c>
      <c r="C14" s="38" t="s">
        <v>26</v>
      </c>
      <c r="D14" s="62">
        <v>3447.6309799999999</v>
      </c>
      <c r="E14" s="62">
        <v>2472.62435</v>
      </c>
      <c r="F14" s="62">
        <v>58918.923109999996</v>
      </c>
      <c r="G14" s="62">
        <v>56237.526039999997</v>
      </c>
      <c r="H14" s="62">
        <v>55958.431729999997</v>
      </c>
      <c r="I14" s="62">
        <v>56136.348530000003</v>
      </c>
      <c r="J14" s="62">
        <v>56384.733350000002</v>
      </c>
      <c r="K14" s="62">
        <v>56489.508820000003</v>
      </c>
      <c r="L14" s="62">
        <v>56350.900479999997</v>
      </c>
      <c r="M14" s="62">
        <v>56307.38192</v>
      </c>
      <c r="N14" s="62">
        <v>56360.503549999994</v>
      </c>
      <c r="O14" s="62">
        <v>56735.83064</v>
      </c>
      <c r="P14" s="62">
        <v>57120.284490000005</v>
      </c>
      <c r="Q14" s="62">
        <v>57022.278450000005</v>
      </c>
      <c r="R14" s="62">
        <v>57298.799049999994</v>
      </c>
      <c r="S14" s="62">
        <v>57843.502350000002</v>
      </c>
      <c r="T14" s="62">
        <v>56443.065270000006</v>
      </c>
      <c r="U14" s="62">
        <v>56222.326909999996</v>
      </c>
      <c r="V14" s="62">
        <v>56760.931779999999</v>
      </c>
      <c r="W14" s="62">
        <v>57370.416579999997</v>
      </c>
      <c r="X14" s="62">
        <v>59920.082110000003</v>
      </c>
      <c r="Y14" s="62">
        <v>60647.92136</v>
      </c>
      <c r="Z14" s="62">
        <v>60795.816549999996</v>
      </c>
      <c r="AA14" s="62">
        <v>57535.53153</v>
      </c>
      <c r="AB14" s="62">
        <v>52670.010920000001</v>
      </c>
      <c r="AC14" s="62">
        <v>52343.840100000001</v>
      </c>
      <c r="AD14" s="62">
        <v>46474.592140000001</v>
      </c>
      <c r="AE14" s="62">
        <v>46106.145530000002</v>
      </c>
      <c r="AF14" s="62">
        <v>44699.203110000002</v>
      </c>
      <c r="AG14" s="62">
        <v>45178.542609999997</v>
      </c>
      <c r="AH14" s="62">
        <v>53727.745289999999</v>
      </c>
      <c r="AI14" s="62">
        <v>46000.461219999997</v>
      </c>
      <c r="AJ14" s="62">
        <v>45986.215880000003</v>
      </c>
      <c r="AK14" s="62">
        <v>45493.894039999999</v>
      </c>
      <c r="AL14" s="62">
        <v>45472.592240000005</v>
      </c>
      <c r="AM14" s="62">
        <v>44919.44644</v>
      </c>
      <c r="AN14" s="62">
        <v>44696.24942</v>
      </c>
      <c r="AO14" s="62">
        <v>44447.674570000003</v>
      </c>
      <c r="AP14" s="62">
        <v>44655.156040000002</v>
      </c>
      <c r="AQ14" s="62">
        <v>44252.182030000004</v>
      </c>
      <c r="AR14" s="62">
        <v>44168.977780000001</v>
      </c>
      <c r="AS14" s="62">
        <v>44754.904219999997</v>
      </c>
      <c r="AT14" s="62">
        <v>44246.052729999996</v>
      </c>
      <c r="AU14" s="62">
        <v>44308.578130000002</v>
      </c>
      <c r="AV14" s="62">
        <v>44054.497159999999</v>
      </c>
      <c r="AW14" s="62">
        <v>44690.331450000005</v>
      </c>
      <c r="AX14" s="62">
        <v>45248.535590000007</v>
      </c>
      <c r="AY14" s="62">
        <v>2542.66923</v>
      </c>
      <c r="AZ14" s="62">
        <v>1511.0616100000002</v>
      </c>
      <c r="BA14" s="62">
        <v>1853.9513699999998</v>
      </c>
      <c r="BB14" s="62">
        <v>785.64361999999994</v>
      </c>
      <c r="BC14" s="62">
        <v>1330.9286</v>
      </c>
      <c r="BD14" s="62">
        <v>1894.28909</v>
      </c>
      <c r="BE14" s="62">
        <v>2332.07296</v>
      </c>
      <c r="BF14" s="62">
        <v>1236.12664</v>
      </c>
      <c r="BG14" s="62">
        <v>1534.5804499999999</v>
      </c>
      <c r="BH14" s="62">
        <v>810.77571999999998</v>
      </c>
      <c r="BI14" s="62">
        <v>1257.46937</v>
      </c>
      <c r="BJ14" s="62">
        <v>1545.7655600000001</v>
      </c>
      <c r="BK14" s="62">
        <v>1690.7376999999999</v>
      </c>
      <c r="BL14" s="62">
        <v>2351.0167700000002</v>
      </c>
      <c r="BM14" s="29">
        <v>2877.0906400000003</v>
      </c>
      <c r="BN14" s="29">
        <v>2620.8340800000001</v>
      </c>
      <c r="BO14" s="29">
        <v>2791.5622599999997</v>
      </c>
      <c r="BP14" s="29">
        <v>3136.55512</v>
      </c>
      <c r="BQ14" s="29">
        <v>3428.1451699999998</v>
      </c>
      <c r="BR14" s="29">
        <v>3966.7760400000002</v>
      </c>
      <c r="BS14" s="29">
        <v>3785.8618199999996</v>
      </c>
      <c r="BT14" s="29">
        <v>3441.6577699999957</v>
      </c>
      <c r="BU14" s="29">
        <v>4134.9931800000004</v>
      </c>
      <c r="BV14" s="29">
        <v>4819.6784100000004</v>
      </c>
      <c r="BW14" s="29">
        <v>4648.5263099999993</v>
      </c>
      <c r="BX14" s="29">
        <v>4276.4338899999993</v>
      </c>
      <c r="BY14" s="29">
        <v>5199.3418200000006</v>
      </c>
      <c r="BZ14" s="29">
        <v>3802.2510600000001</v>
      </c>
      <c r="CA14" s="29">
        <v>4642.4385599999996</v>
      </c>
      <c r="CB14" s="29">
        <v>5491.1743399999996</v>
      </c>
      <c r="CC14" s="29">
        <v>6416.6994999999997</v>
      </c>
      <c r="CD14" s="29">
        <v>7696.9476100000002</v>
      </c>
      <c r="CE14" s="29">
        <v>8437.3232599999992</v>
      </c>
      <c r="CF14" s="29">
        <v>7887.1322</v>
      </c>
      <c r="CG14" s="29">
        <v>8258.63681</v>
      </c>
      <c r="CH14" s="29">
        <v>9511.5103900000013</v>
      </c>
      <c r="CI14" s="29">
        <v>8420.1913599999989</v>
      </c>
      <c r="CJ14" s="30">
        <v>6454.1709199999996</v>
      </c>
      <c r="CK14" s="30">
        <v>7862.4665300000006</v>
      </c>
      <c r="CL14" s="30">
        <v>6853.7585999999992</v>
      </c>
      <c r="CM14" s="30">
        <v>6778.2503000000006</v>
      </c>
      <c r="CN14" s="30">
        <v>8546.4590000000007</v>
      </c>
      <c r="CO14" s="30">
        <v>10008.68982</v>
      </c>
      <c r="CP14" s="30">
        <v>11047.83546</v>
      </c>
      <c r="CQ14" s="30">
        <v>11093.182859999999</v>
      </c>
      <c r="CR14" s="29">
        <v>12730.5</v>
      </c>
      <c r="CS14" s="29">
        <v>14208.159810000001</v>
      </c>
      <c r="CT14" s="29">
        <v>15817.65382</v>
      </c>
      <c r="CU14" s="29">
        <v>11716.852859999999</v>
      </c>
      <c r="CV14" s="29">
        <v>8821.72552</v>
      </c>
      <c r="CW14" s="29">
        <v>9872.6486200000018</v>
      </c>
      <c r="CX14" s="29">
        <v>7822.6649500000003</v>
      </c>
      <c r="CY14" s="29">
        <f>5930958.91/1000</f>
        <v>5930.9589100000003</v>
      </c>
      <c r="CZ14" s="29">
        <f>8644850.87/1000</f>
        <v>8644.8508699999984</v>
      </c>
      <c r="DA14" s="29">
        <f>11580504.72/1000</f>
        <v>11580.504720000001</v>
      </c>
      <c r="DB14" s="29">
        <v>12131.934529999999</v>
      </c>
      <c r="DC14" s="29">
        <f>14080680.4/1000</f>
        <v>14080.680400000001</v>
      </c>
      <c r="DD14" s="29">
        <f>16955936.43/1000</f>
        <v>16955.936429999998</v>
      </c>
      <c r="DE14" s="29">
        <f>12766223.02/1000</f>
        <v>12766.223019999999</v>
      </c>
      <c r="DF14" s="29">
        <v>15120.31827</v>
      </c>
      <c r="DG14" s="29">
        <f>14298111.58/1000</f>
        <v>14298.111580000001</v>
      </c>
      <c r="DH14" s="29">
        <v>12452.48913</v>
      </c>
      <c r="DI14" s="29">
        <v>15323.066849999999</v>
      </c>
      <c r="DJ14" s="29">
        <v>18323.462359999998</v>
      </c>
      <c r="DK14" s="29">
        <v>9775.4474300000002</v>
      </c>
      <c r="DL14" s="29">
        <v>12144.609470000001</v>
      </c>
      <c r="DM14" s="29">
        <v>12596.18298</v>
      </c>
      <c r="DN14" s="29">
        <v>16523.9336</v>
      </c>
      <c r="DO14" s="29">
        <v>17275.860100000002</v>
      </c>
      <c r="DP14" s="29">
        <v>20779.74337</v>
      </c>
      <c r="DQ14" s="29">
        <v>18960.492899999997</v>
      </c>
      <c r="DR14" s="29">
        <v>17895.889079999997</v>
      </c>
      <c r="DS14" s="29">
        <v>16802.216809999998</v>
      </c>
      <c r="DT14" s="29">
        <v>15112.727359999999</v>
      </c>
      <c r="DU14" s="29">
        <v>17035.169819999999</v>
      </c>
      <c r="DV14" s="29">
        <v>19280.146510000002</v>
      </c>
      <c r="DW14" s="29">
        <v>18943.110199999999</v>
      </c>
      <c r="DX14" s="29">
        <v>19254.691079999997</v>
      </c>
      <c r="DY14" s="29">
        <v>23491.069510000001</v>
      </c>
      <c r="DZ14" s="29">
        <v>24891.662820000001</v>
      </c>
    </row>
    <row r="15" spans="2:130" x14ac:dyDescent="0.3">
      <c r="B15" s="36">
        <v>4</v>
      </c>
      <c r="C15" s="38" t="s">
        <v>55</v>
      </c>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v>288.45666999999997</v>
      </c>
      <c r="AW15" s="62">
        <v>452.36613</v>
      </c>
      <c r="AX15" s="62">
        <v>633.47261000000003</v>
      </c>
      <c r="AY15" s="62">
        <v>43540.576789999999</v>
      </c>
      <c r="AZ15" s="62">
        <v>52.222929999999998</v>
      </c>
      <c r="BA15" s="62">
        <v>99.06671</v>
      </c>
      <c r="BB15" s="62">
        <v>149.57882000000001</v>
      </c>
      <c r="BC15" s="62">
        <v>197.99746999999999</v>
      </c>
      <c r="BD15" s="62">
        <v>248.72099</v>
      </c>
      <c r="BE15" s="62">
        <v>300.02537000000001</v>
      </c>
      <c r="BF15" s="62">
        <v>352.66131999999993</v>
      </c>
      <c r="BG15" s="62">
        <v>418.76017999999999</v>
      </c>
      <c r="BH15" s="62">
        <v>469.13006000000001</v>
      </c>
      <c r="BI15" s="62">
        <v>523.39356999999995</v>
      </c>
      <c r="BJ15" s="62">
        <v>576.59265999999991</v>
      </c>
      <c r="BK15" s="62">
        <v>0</v>
      </c>
      <c r="BL15" s="62">
        <v>62.871879999999997</v>
      </c>
      <c r="BM15" s="29">
        <v>121.94135</v>
      </c>
      <c r="BN15" s="29">
        <v>180.52870000000001</v>
      </c>
      <c r="BO15" s="29">
        <v>238.09044</v>
      </c>
      <c r="BP15" s="29">
        <v>313.93776000000003</v>
      </c>
      <c r="BQ15" s="29">
        <v>389.03784999999999</v>
      </c>
      <c r="BR15" s="29">
        <v>455.49653000000001</v>
      </c>
      <c r="BS15" s="29">
        <v>557.43880000000001</v>
      </c>
      <c r="BT15" s="29">
        <v>620.09431999999993</v>
      </c>
      <c r="BU15" s="29">
        <v>684.83375999999998</v>
      </c>
      <c r="BV15" s="29">
        <v>750.78102999999999</v>
      </c>
      <c r="BW15" s="29"/>
      <c r="BX15" s="29">
        <v>81.662019999999998</v>
      </c>
      <c r="BY15" s="29">
        <v>156.45133999999999</v>
      </c>
      <c r="BZ15" s="29">
        <v>245.68347</v>
      </c>
      <c r="CA15" s="29">
        <v>338.07506000000001</v>
      </c>
      <c r="CB15" s="29">
        <v>449.80662000000001</v>
      </c>
      <c r="CC15" s="29">
        <v>545.61593000000005</v>
      </c>
      <c r="CD15" s="29">
        <v>644.27552000000003</v>
      </c>
      <c r="CE15" s="29">
        <v>745.41386</v>
      </c>
      <c r="CF15" s="29">
        <v>886.63692000000003</v>
      </c>
      <c r="CG15" s="29">
        <v>996.29949999999997</v>
      </c>
      <c r="CH15" s="29">
        <v>1105.2365300000001</v>
      </c>
      <c r="CI15" s="29">
        <v>0</v>
      </c>
      <c r="CJ15" s="30">
        <v>121.50532000000001</v>
      </c>
      <c r="CK15" s="30">
        <v>268.71688</v>
      </c>
      <c r="CL15" s="30">
        <v>386.28479999999996</v>
      </c>
      <c r="CM15" s="30">
        <v>514.65135999999995</v>
      </c>
      <c r="CN15" s="30">
        <v>656.10208999999998</v>
      </c>
      <c r="CO15" s="30">
        <v>773.44641999999999</v>
      </c>
      <c r="CP15" s="30">
        <v>901.11829</v>
      </c>
      <c r="CQ15" s="30">
        <v>1023.79513</v>
      </c>
      <c r="CR15" s="29">
        <v>1141.5207600000001</v>
      </c>
      <c r="CS15" s="29">
        <v>1259.8555900000001</v>
      </c>
      <c r="CT15" s="29">
        <v>1376.5915600000001</v>
      </c>
      <c r="CU15" s="29">
        <v>0</v>
      </c>
      <c r="CV15" s="29">
        <v>117.45348</v>
      </c>
      <c r="CW15" s="29">
        <v>245.81193999999999</v>
      </c>
      <c r="CX15" s="29">
        <v>389.64729</v>
      </c>
      <c r="CY15" s="29">
        <f>9924407.79/1000</f>
        <v>9924.4077899999993</v>
      </c>
      <c r="CZ15" s="29">
        <f>11818093.36/1000</f>
        <v>11818.093359999999</v>
      </c>
      <c r="DA15" s="29">
        <f>11982285.01/1000</f>
        <v>11982.28501</v>
      </c>
      <c r="DB15" s="29">
        <v>12139.670310000001</v>
      </c>
      <c r="DC15" s="29">
        <f>12330708.61/1000</f>
        <v>12330.70861</v>
      </c>
      <c r="DD15" s="29">
        <f>12644904.37/1000</f>
        <v>12644.904369999998</v>
      </c>
      <c r="DE15" s="29">
        <f>12857040.89/1000</f>
        <v>12857.04089</v>
      </c>
      <c r="DF15" s="29">
        <v>13000.670300000002</v>
      </c>
      <c r="DG15" s="29">
        <v>0</v>
      </c>
      <c r="DH15" s="29">
        <v>242.49617999999998</v>
      </c>
      <c r="DI15" s="29">
        <v>397.85881999999998</v>
      </c>
      <c r="DJ15" s="29">
        <v>767.73479000000009</v>
      </c>
      <c r="DK15" s="29">
        <v>1007.55699</v>
      </c>
      <c r="DL15" s="29">
        <v>4617.8229199999996</v>
      </c>
      <c r="DM15" s="29">
        <v>5056.0070999999998</v>
      </c>
      <c r="DN15" s="29">
        <v>6643.5909499999998</v>
      </c>
      <c r="DO15" s="29">
        <v>8434.2589900000003</v>
      </c>
      <c r="DP15" s="29">
        <v>8972.2101600000005</v>
      </c>
      <c r="DQ15" s="29">
        <v>16138.79127</v>
      </c>
      <c r="DR15" s="29">
        <v>16367.546789999999</v>
      </c>
      <c r="DS15" s="27">
        <v>0</v>
      </c>
      <c r="DT15" s="29">
        <v>284.23856000000001</v>
      </c>
      <c r="DU15" s="29">
        <v>523.29651999999999</v>
      </c>
      <c r="DV15" s="29">
        <v>886.42193000000009</v>
      </c>
      <c r="DW15" s="29">
        <v>1189.01187</v>
      </c>
      <c r="DX15" s="29">
        <v>1475.0276200000001</v>
      </c>
      <c r="DY15" s="29">
        <v>1776.0929099999998</v>
      </c>
      <c r="DZ15" s="29">
        <v>2100.4857900000002</v>
      </c>
    </row>
    <row r="16" spans="2:130" x14ac:dyDescent="0.3">
      <c r="B16" s="39"/>
      <c r="C16" s="40" t="s">
        <v>61</v>
      </c>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4">
        <f>+AV11+AV15</f>
        <v>1194840.2866400001</v>
      </c>
      <c r="AW16" s="64">
        <f t="shared" ref="AW16:AZ16" si="0">+AW11+AW15</f>
        <v>1210290.8833900001</v>
      </c>
      <c r="AX16" s="64">
        <f t="shared" si="0"/>
        <v>1226210.9106600001</v>
      </c>
      <c r="AY16" s="64">
        <f>+AY11+AY15</f>
        <v>1241340.9692300002</v>
      </c>
      <c r="AZ16" s="64">
        <f t="shared" si="0"/>
        <v>1213494.2839499998</v>
      </c>
      <c r="BA16" s="64">
        <v>1229543.70584</v>
      </c>
      <c r="BB16" s="64">
        <v>1245510.3119199998</v>
      </c>
      <c r="BC16" s="64">
        <v>1262782.4934399999</v>
      </c>
      <c r="BD16" s="64">
        <v>1280186.2335300001</v>
      </c>
      <c r="BE16" s="64">
        <v>1296308.82556</v>
      </c>
      <c r="BF16" s="64">
        <v>1312627.20695</v>
      </c>
      <c r="BG16" s="64">
        <v>1328804.2131500002</v>
      </c>
      <c r="BH16" s="64">
        <v>1343413.2331499998</v>
      </c>
      <c r="BI16" s="64">
        <v>1361187.3122499997</v>
      </c>
      <c r="BJ16" s="64">
        <v>1377382.45245</v>
      </c>
      <c r="BK16" s="64">
        <v>1393225.2643900001</v>
      </c>
      <c r="BL16" s="64">
        <v>1410300.3613200001</v>
      </c>
      <c r="BM16" s="31">
        <v>1412077.8065199999</v>
      </c>
      <c r="BN16" s="31">
        <v>1444250.20964</v>
      </c>
      <c r="BO16" s="31">
        <v>1461551.6708600002</v>
      </c>
      <c r="BP16" s="31">
        <v>1478970.2816199998</v>
      </c>
      <c r="BQ16" s="31">
        <v>1496229.8261300002</v>
      </c>
      <c r="BR16" s="31">
        <v>1513504.4825799998</v>
      </c>
      <c r="BS16" s="31">
        <v>1532781.0238299998</v>
      </c>
      <c r="BT16" s="31">
        <v>1550122.1599900001</v>
      </c>
      <c r="BU16" s="31">
        <v>1567610.1038600001</v>
      </c>
      <c r="BV16" s="31">
        <v>1570011.5614200002</v>
      </c>
      <c r="BW16" s="31">
        <v>1601745.4601299998</v>
      </c>
      <c r="BX16" s="31">
        <v>1619915.6835600003</v>
      </c>
      <c r="BY16" s="31">
        <v>1637821.0284199999</v>
      </c>
      <c r="BZ16" s="31">
        <v>1656180.8552300001</v>
      </c>
      <c r="CA16" s="31">
        <v>1674913.56592</v>
      </c>
      <c r="CB16" s="31">
        <v>1693999.2225099998</v>
      </c>
      <c r="CC16" s="31">
        <v>1712767.05174</v>
      </c>
      <c r="CD16" s="31">
        <v>1731945.4056199999</v>
      </c>
      <c r="CE16" s="31">
        <v>1751145.5037499997</v>
      </c>
      <c r="CF16" s="31">
        <v>1770493.7987100002</v>
      </c>
      <c r="CG16" s="31">
        <v>1789862.8141700001</v>
      </c>
      <c r="CH16" s="31">
        <v>1809494.4833600002</v>
      </c>
      <c r="CI16" s="31">
        <v>1828012.2525899999</v>
      </c>
      <c r="CJ16" s="32">
        <v>1831797.65274</v>
      </c>
      <c r="CK16" s="32">
        <v>1868871.0977</v>
      </c>
      <c r="CL16" s="32">
        <v>1889644.89543</v>
      </c>
      <c r="CM16" s="32">
        <v>1893381.7082199997</v>
      </c>
      <c r="CN16" s="32">
        <v>1897269.8629699999</v>
      </c>
      <c r="CO16" s="32">
        <v>1901048.42882</v>
      </c>
      <c r="CP16" s="32">
        <v>1972169.1106399999</v>
      </c>
      <c r="CQ16" s="32">
        <v>1992970.4835300001</v>
      </c>
      <c r="CR16" s="32">
        <v>2013927.2783320001</v>
      </c>
      <c r="CS16" s="31">
        <v>2035235.8725099997</v>
      </c>
      <c r="CT16" s="31">
        <v>2056681.6898399999</v>
      </c>
      <c r="CU16" s="31">
        <v>2076820.70086</v>
      </c>
      <c r="CV16" s="31">
        <v>2080574.4356999998</v>
      </c>
      <c r="CW16" s="31">
        <v>2084109.1660900002</v>
      </c>
      <c r="CX16" s="31">
        <v>2087908.63176</v>
      </c>
      <c r="CY16" s="31">
        <f>2147856773.87/1000</f>
        <v>2147856.7738699997</v>
      </c>
      <c r="CZ16" s="31">
        <f>2190698382.04/1000</f>
        <v>2190698.3820400001</v>
      </c>
      <c r="DA16" s="31">
        <f>2214921589.1/1000</f>
        <v>2214921.5891</v>
      </c>
      <c r="DB16" s="31">
        <v>2221090.6838600002</v>
      </c>
      <c r="DC16" s="31">
        <f>2266381410.33/1000</f>
        <v>2266381.4103299999</v>
      </c>
      <c r="DD16" s="31">
        <f>2291696757.99/1000</f>
        <v>2291696.7579899998</v>
      </c>
      <c r="DE16" s="31">
        <f>2297067597.96/1000</f>
        <v>2297067.5979599999</v>
      </c>
      <c r="DF16" s="31">
        <v>2341176.4616100001</v>
      </c>
      <c r="DG16" s="31">
        <f>2353587111.45/1000</f>
        <v>2353587.1114499997</v>
      </c>
      <c r="DH16" s="31">
        <v>2379240.2851499999</v>
      </c>
      <c r="DI16" s="31">
        <v>2405334.9363800003</v>
      </c>
      <c r="DJ16" s="31">
        <v>2431788.3573400001</v>
      </c>
      <c r="DK16" s="31">
        <v>2456601.8615399995</v>
      </c>
      <c r="DL16" s="31">
        <v>2470426.8567099995</v>
      </c>
      <c r="DM16" s="31">
        <v>2506373.3816499999</v>
      </c>
      <c r="DN16" s="31">
        <v>2535329.6039299993</v>
      </c>
      <c r="DO16" s="31">
        <v>2562439.5691999998</v>
      </c>
      <c r="DP16" s="31">
        <v>2589769.2833799995</v>
      </c>
      <c r="DQ16" s="31">
        <v>2599684.9661699999</v>
      </c>
      <c r="DR16" s="31">
        <v>2609915.6831999999</v>
      </c>
      <c r="DS16" s="31">
        <v>2604814.4384600003</v>
      </c>
      <c r="DT16" s="31">
        <v>2617575.1061600004</v>
      </c>
      <c r="DU16" s="31">
        <v>2630698.1980800005</v>
      </c>
      <c r="DV16" s="31">
        <v>2646651.13827</v>
      </c>
      <c r="DW16" s="31">
        <v>2660622.3375599994</v>
      </c>
      <c r="DX16" s="31">
        <v>2674704.8759599999</v>
      </c>
      <c r="DY16" s="31">
        <v>2688417.1126100002</v>
      </c>
      <c r="DZ16" s="31">
        <v>2702493.75929</v>
      </c>
    </row>
    <row r="17" spans="2:130" x14ac:dyDescent="0.3">
      <c r="B17" s="36"/>
      <c r="C17" s="37"/>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v>0</v>
      </c>
      <c r="AX17" s="62">
        <v>0</v>
      </c>
      <c r="AY17" s="62">
        <v>0</v>
      </c>
      <c r="AZ17" s="62">
        <v>0</v>
      </c>
      <c r="BA17" s="62">
        <v>0</v>
      </c>
      <c r="BB17" s="62">
        <v>0</v>
      </c>
      <c r="BC17" s="62">
        <v>0</v>
      </c>
      <c r="BD17" s="62">
        <v>0</v>
      </c>
      <c r="BE17" s="62">
        <v>0</v>
      </c>
      <c r="BF17" s="62">
        <v>0</v>
      </c>
      <c r="BG17" s="62">
        <v>0</v>
      </c>
      <c r="BH17" s="62">
        <v>0</v>
      </c>
      <c r="BI17" s="62">
        <v>0</v>
      </c>
      <c r="BJ17" s="62">
        <v>0</v>
      </c>
      <c r="BK17" s="62">
        <v>0</v>
      </c>
      <c r="BL17" s="62">
        <v>0</v>
      </c>
      <c r="BM17" s="28">
        <v>0</v>
      </c>
      <c r="BN17" s="28"/>
      <c r="BO17" s="28"/>
      <c r="BP17" s="28">
        <v>0</v>
      </c>
      <c r="BQ17" s="28">
        <v>0</v>
      </c>
      <c r="BR17" s="28">
        <v>0</v>
      </c>
      <c r="BS17" s="28">
        <v>0</v>
      </c>
      <c r="BT17" s="28"/>
      <c r="BU17" s="28"/>
      <c r="BV17" s="28"/>
      <c r="BW17" s="28"/>
      <c r="BX17" s="28"/>
      <c r="BY17" s="28">
        <v>0</v>
      </c>
      <c r="BZ17" s="28">
        <v>0</v>
      </c>
      <c r="CA17" s="28">
        <v>0</v>
      </c>
      <c r="CB17" s="28">
        <v>0</v>
      </c>
      <c r="CC17" s="28">
        <v>0</v>
      </c>
      <c r="CD17" s="28">
        <v>0</v>
      </c>
      <c r="CE17" s="28">
        <v>0</v>
      </c>
      <c r="CF17" s="28"/>
      <c r="CG17" s="28"/>
      <c r="CH17" s="28"/>
      <c r="CI17" s="28"/>
      <c r="CJ17" s="28">
        <v>0</v>
      </c>
      <c r="CK17" s="28"/>
      <c r="CL17" s="28"/>
      <c r="CM17" s="28">
        <v>0</v>
      </c>
      <c r="CN17" s="28"/>
      <c r="CO17" s="28"/>
      <c r="CP17" s="28">
        <v>0</v>
      </c>
      <c r="CQ17" s="28">
        <v>0</v>
      </c>
      <c r="CR17" s="28"/>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v>0</v>
      </c>
      <c r="DU17" s="27">
        <v>0</v>
      </c>
      <c r="DV17" s="27">
        <v>0</v>
      </c>
      <c r="DW17" s="27">
        <v>0</v>
      </c>
      <c r="DX17" s="27">
        <v>0</v>
      </c>
      <c r="DY17" s="27">
        <v>0</v>
      </c>
      <c r="DZ17" s="27">
        <v>0</v>
      </c>
    </row>
    <row r="18" spans="2:130" s="66" customFormat="1" x14ac:dyDescent="0.3">
      <c r="B18" s="41">
        <v>2</v>
      </c>
      <c r="C18" s="42" t="s">
        <v>27</v>
      </c>
      <c r="D18" s="65">
        <v>7.7521199999999997</v>
      </c>
      <c r="E18" s="65">
        <v>6.02407</v>
      </c>
      <c r="F18" s="65">
        <v>13.40179</v>
      </c>
      <c r="G18" s="65">
        <v>13.779879999999999</v>
      </c>
      <c r="H18" s="65">
        <v>12.8058</v>
      </c>
      <c r="I18" s="65">
        <v>12.228399999999999</v>
      </c>
      <c r="J18" s="65">
        <v>68250.706540000014</v>
      </c>
      <c r="K18" s="65">
        <v>69892.042879999994</v>
      </c>
      <c r="L18" s="65">
        <v>71573.321159999992</v>
      </c>
      <c r="M18" s="65">
        <v>73308.317810000008</v>
      </c>
      <c r="N18" s="65">
        <v>73886.83524</v>
      </c>
      <c r="O18" s="65">
        <v>74462.257830000002</v>
      </c>
      <c r="P18" s="65">
        <v>75062.699540000001</v>
      </c>
      <c r="Q18" s="65">
        <v>75590.381900000008</v>
      </c>
      <c r="R18" s="65">
        <v>110.5861</v>
      </c>
      <c r="S18" s="65">
        <v>97.372969999999995</v>
      </c>
      <c r="T18" s="65">
        <v>98.739249999999998</v>
      </c>
      <c r="U18" s="65">
        <v>112.98889</v>
      </c>
      <c r="V18" s="65">
        <v>15.077789999999998</v>
      </c>
      <c r="W18" s="65">
        <v>14.82864</v>
      </c>
      <c r="X18" s="65">
        <v>13.68582</v>
      </c>
      <c r="Y18" s="65">
        <v>34.783299999999997</v>
      </c>
      <c r="Z18" s="65">
        <v>45.220459999999996</v>
      </c>
      <c r="AA18" s="65">
        <v>35.247459999999997</v>
      </c>
      <c r="AB18" s="65">
        <v>5014.8201200000003</v>
      </c>
      <c r="AC18" s="65">
        <v>5014.0560099999993</v>
      </c>
      <c r="AD18" s="65">
        <v>15.572119999999998</v>
      </c>
      <c r="AE18" s="65">
        <v>15.718819999999999</v>
      </c>
      <c r="AF18" s="65">
        <v>16.385300000000004</v>
      </c>
      <c r="AG18" s="65">
        <v>39.52355</v>
      </c>
      <c r="AH18" s="65">
        <v>14.658100000000001</v>
      </c>
      <c r="AI18" s="65">
        <v>15.017520000000001</v>
      </c>
      <c r="AJ18" s="65">
        <v>14.928510000000001</v>
      </c>
      <c r="AK18" s="65">
        <v>15.06142</v>
      </c>
      <c r="AL18" s="65">
        <v>12.99868</v>
      </c>
      <c r="AM18" s="65">
        <v>16.890730000000005</v>
      </c>
      <c r="AN18" s="65">
        <v>15.203430000000001</v>
      </c>
      <c r="AO18" s="65">
        <v>14.655010000000001</v>
      </c>
      <c r="AP18" s="65">
        <v>15.50967</v>
      </c>
      <c r="AQ18" s="65">
        <v>14.53758</v>
      </c>
      <c r="AR18" s="65">
        <v>27.772190000000002</v>
      </c>
      <c r="AS18" s="65">
        <v>13.023239999999999</v>
      </c>
      <c r="AT18" s="65">
        <v>25.39958</v>
      </c>
      <c r="AU18" s="65">
        <v>12.830879999999999</v>
      </c>
      <c r="AV18" s="65">
        <v>288.45690999999999</v>
      </c>
      <c r="AW18" s="65">
        <v>430.23361999999997</v>
      </c>
      <c r="AX18" s="65">
        <v>576.27703000000008</v>
      </c>
      <c r="AY18" s="65">
        <v>718.69619999999998</v>
      </c>
      <c r="AZ18" s="65">
        <v>479.84138999999999</v>
      </c>
      <c r="BA18" s="65">
        <v>345.65156999999999</v>
      </c>
      <c r="BB18" s="65">
        <v>197.91374999999999</v>
      </c>
      <c r="BC18" s="65">
        <v>1619.2226699999999</v>
      </c>
      <c r="BD18" s="65">
        <v>1636.34609</v>
      </c>
      <c r="BE18" s="65">
        <v>1648.42156</v>
      </c>
      <c r="BF18" s="65">
        <v>1547.4877799999999</v>
      </c>
      <c r="BG18" s="65">
        <v>1137.6646899999998</v>
      </c>
      <c r="BH18" s="65">
        <v>1125.3059699999999</v>
      </c>
      <c r="BI18" s="65">
        <v>1165.2583300000001</v>
      </c>
      <c r="BJ18" s="65">
        <v>1200.9729299999999</v>
      </c>
      <c r="BK18" s="65">
        <v>1243.7584899999999</v>
      </c>
      <c r="BL18" s="65">
        <v>1233.3545800000002</v>
      </c>
      <c r="BM18" s="28">
        <v>1185.1203400000002</v>
      </c>
      <c r="BN18" s="28">
        <v>1147.70066</v>
      </c>
      <c r="BO18" s="28">
        <v>1181.6538400000002</v>
      </c>
      <c r="BP18" s="28">
        <v>1203.6864699999999</v>
      </c>
      <c r="BQ18" s="28">
        <v>1242.3423700000001</v>
      </c>
      <c r="BR18" s="28">
        <v>1240.9018000000001</v>
      </c>
      <c r="BS18" s="28">
        <v>1188.17543</v>
      </c>
      <c r="BT18" s="28">
        <v>1204.0176100000001</v>
      </c>
      <c r="BU18" s="28">
        <v>1263.0219</v>
      </c>
      <c r="BV18" s="28">
        <v>1300.20604</v>
      </c>
      <c r="BW18" s="28">
        <v>1232.86268</v>
      </c>
      <c r="BX18" s="28">
        <v>1268.07826</v>
      </c>
      <c r="BY18" s="28">
        <v>1292.3129199999998</v>
      </c>
      <c r="BZ18" s="28">
        <v>1271.81449</v>
      </c>
      <c r="CA18" s="28">
        <v>1327.5010400000001</v>
      </c>
      <c r="CB18" s="28">
        <v>1391.8067100000001</v>
      </c>
      <c r="CC18" s="28">
        <v>1322.7688000000001</v>
      </c>
      <c r="CD18" s="28">
        <v>1444.6949199999999</v>
      </c>
      <c r="CE18" s="28">
        <v>1426.03819</v>
      </c>
      <c r="CF18" s="28">
        <v>1413.7851799999999</v>
      </c>
      <c r="CG18" s="28">
        <v>1115.77782</v>
      </c>
      <c r="CH18" s="28">
        <v>1156.4586000000002</v>
      </c>
      <c r="CI18" s="28">
        <v>1073.8777600000001</v>
      </c>
      <c r="CJ18" s="28">
        <v>1053.3203700000001</v>
      </c>
      <c r="CK18" s="28">
        <v>1002.6991400000001</v>
      </c>
      <c r="CL18" s="28">
        <v>991.83067000000005</v>
      </c>
      <c r="CM18" s="28">
        <v>1017.0301800000001</v>
      </c>
      <c r="CN18" s="28">
        <v>1068.26855</v>
      </c>
      <c r="CO18" s="28">
        <v>1106.6307400000001</v>
      </c>
      <c r="CP18" s="28">
        <v>1162.2261699999999</v>
      </c>
      <c r="CQ18" s="28">
        <v>1108.07026</v>
      </c>
      <c r="CR18" s="28">
        <v>1176.8873100000001</v>
      </c>
      <c r="CS18" s="27">
        <v>1241.44975</v>
      </c>
      <c r="CT18" s="27">
        <v>1204.75468</v>
      </c>
      <c r="CU18" s="27">
        <v>1073.9158799999998</v>
      </c>
      <c r="CV18" s="27">
        <v>996.76373999999998</v>
      </c>
      <c r="CW18" s="27">
        <v>1023.16977</v>
      </c>
      <c r="CX18" s="27">
        <v>988.39738999999997</v>
      </c>
      <c r="CY18" s="27">
        <f>1146339.44/1000</f>
        <v>1146.33944</v>
      </c>
      <c r="CZ18" s="27">
        <f>999995.88/1000</f>
        <v>999.99588000000006</v>
      </c>
      <c r="DA18" s="27">
        <f>925564.52/1000</f>
        <v>925.56452000000002</v>
      </c>
      <c r="DB18" s="27">
        <v>970.53246999999999</v>
      </c>
      <c r="DC18" s="27">
        <f>1018676.43/1000</f>
        <v>1018.6764300000001</v>
      </c>
      <c r="DD18" s="27">
        <f>1125989.46/1000</f>
        <v>1125.98946</v>
      </c>
      <c r="DE18" s="27">
        <f>1061437.52/1000</f>
        <v>1061.4375199999999</v>
      </c>
      <c r="DF18" s="27">
        <v>1094.7135499999999</v>
      </c>
      <c r="DG18" s="27">
        <f>1072312.01/1000</f>
        <v>1072.3120100000001</v>
      </c>
      <c r="DH18" s="27">
        <v>1111.5490300000001</v>
      </c>
      <c r="DI18" s="27">
        <v>1241.95027</v>
      </c>
      <c r="DJ18" s="27">
        <v>1263.45021</v>
      </c>
      <c r="DK18" s="27">
        <v>1022.32131</v>
      </c>
      <c r="DL18" s="27">
        <v>973.70487000000003</v>
      </c>
      <c r="DM18" s="27">
        <v>1035.5924</v>
      </c>
      <c r="DN18" s="27">
        <v>1157.1363999999999</v>
      </c>
      <c r="DO18" s="27">
        <v>1209.34249</v>
      </c>
      <c r="DP18" s="27">
        <v>1336.4761799999999</v>
      </c>
      <c r="DQ18" s="27">
        <v>1318.4288799999999</v>
      </c>
      <c r="DR18" s="27">
        <v>1184.91527</v>
      </c>
      <c r="DS18" s="27">
        <v>3509.7158100000001</v>
      </c>
      <c r="DT18" s="27">
        <v>1152.20712</v>
      </c>
      <c r="DU18" s="27">
        <v>1330.4506899999999</v>
      </c>
      <c r="DV18" s="27">
        <v>1321.65571</v>
      </c>
      <c r="DW18" s="27">
        <v>1339.1841999999999</v>
      </c>
      <c r="DX18" s="27">
        <v>1337.86106</v>
      </c>
      <c r="DY18" s="27">
        <v>1356.6169</v>
      </c>
      <c r="DZ18" s="27">
        <v>1441.64465</v>
      </c>
    </row>
    <row r="19" spans="2:130" s="66" customFormat="1" x14ac:dyDescent="0.3">
      <c r="B19" s="41" t="s">
        <v>28</v>
      </c>
      <c r="C19" s="43" t="s">
        <v>32</v>
      </c>
      <c r="D19" s="67">
        <v>7.7521199999999997</v>
      </c>
      <c r="E19" s="67">
        <v>6.02407</v>
      </c>
      <c r="F19" s="67">
        <v>13.40179</v>
      </c>
      <c r="G19" s="67">
        <v>13.779879999999999</v>
      </c>
      <c r="H19" s="67">
        <v>12.8058</v>
      </c>
      <c r="I19" s="67">
        <v>12.228399999999999</v>
      </c>
      <c r="J19" s="67">
        <v>0</v>
      </c>
      <c r="K19" s="67">
        <v>69892.042879999994</v>
      </c>
      <c r="L19" s="67">
        <v>0</v>
      </c>
      <c r="M19" s="67">
        <v>0</v>
      </c>
      <c r="N19" s="67">
        <v>0</v>
      </c>
      <c r="O19" s="67">
        <v>74462.257830000002</v>
      </c>
      <c r="P19" s="67">
        <v>75062.699540000001</v>
      </c>
      <c r="Q19" s="67">
        <v>75590.381900000008</v>
      </c>
      <c r="R19" s="67">
        <v>110.58586</v>
      </c>
      <c r="S19" s="67">
        <v>97.37272999999999</v>
      </c>
      <c r="T19" s="67">
        <v>98.739009999999993</v>
      </c>
      <c r="U19" s="67">
        <v>112.98864999999999</v>
      </c>
      <c r="V19" s="67">
        <v>15.077549999999999</v>
      </c>
      <c r="W19" s="67">
        <v>14.8284</v>
      </c>
      <c r="X19" s="67">
        <v>13.68558</v>
      </c>
      <c r="Y19" s="67">
        <v>34.783059999999999</v>
      </c>
      <c r="Z19" s="67">
        <v>45.220219999999998</v>
      </c>
      <c r="AA19" s="67">
        <v>35.247219999999999</v>
      </c>
      <c r="AB19" s="67">
        <v>14.819879999999999</v>
      </c>
      <c r="AC19" s="67">
        <v>14.055770000000001</v>
      </c>
      <c r="AD19" s="67">
        <v>15.571879999999998</v>
      </c>
      <c r="AE19" s="67">
        <v>15.718579999999999</v>
      </c>
      <c r="AF19" s="67">
        <v>16.385060000000003</v>
      </c>
      <c r="AG19" s="67">
        <v>15.63128</v>
      </c>
      <c r="AH19" s="67">
        <v>14.657860000000001</v>
      </c>
      <c r="AI19" s="67">
        <v>15.017280000000001</v>
      </c>
      <c r="AJ19" s="67">
        <v>14.928270000000001</v>
      </c>
      <c r="AK19" s="67">
        <v>15.06118</v>
      </c>
      <c r="AL19" s="67">
        <v>12.99844</v>
      </c>
      <c r="AM19" s="67">
        <v>16.890490000000003</v>
      </c>
      <c r="AN19" s="67">
        <v>15.203190000000001</v>
      </c>
      <c r="AO19" s="67">
        <v>14.654770000000001</v>
      </c>
      <c r="AP19" s="67">
        <v>15.50943</v>
      </c>
      <c r="AQ19" s="67">
        <v>14.53734</v>
      </c>
      <c r="AR19" s="67">
        <v>27.77195</v>
      </c>
      <c r="AS19" s="67">
        <v>13.023</v>
      </c>
      <c r="AT19" s="67">
        <v>25.399339999999999</v>
      </c>
      <c r="AU19" s="67">
        <v>12.830639999999999</v>
      </c>
      <c r="AV19" s="67">
        <v>288.45666999999997</v>
      </c>
      <c r="AW19" s="67">
        <v>430.23338000000001</v>
      </c>
      <c r="AX19" s="67">
        <v>576.27703000000008</v>
      </c>
      <c r="AY19" s="67">
        <v>718.69619999999998</v>
      </c>
      <c r="AZ19" s="67">
        <v>479.84138999999999</v>
      </c>
      <c r="BA19" s="67">
        <v>345.65156999999999</v>
      </c>
      <c r="BB19" s="67">
        <v>197.91374999999999</v>
      </c>
      <c r="BC19" s="67">
        <v>1619.2226699999999</v>
      </c>
      <c r="BD19" s="67">
        <v>1636.34609</v>
      </c>
      <c r="BE19" s="67">
        <v>1648.42156</v>
      </c>
      <c r="BF19" s="67">
        <v>1547.4877799999999</v>
      </c>
      <c r="BG19" s="67">
        <v>1137.6646899999998</v>
      </c>
      <c r="BH19" s="67">
        <v>1125.3059699999999</v>
      </c>
      <c r="BI19" s="67">
        <v>1165.2583300000001</v>
      </c>
      <c r="BJ19" s="67">
        <v>1200.9729299999999</v>
      </c>
      <c r="BK19" s="67">
        <v>1243.7584899999999</v>
      </c>
      <c r="BL19" s="67">
        <v>1233.3545800000002</v>
      </c>
      <c r="BM19" s="30">
        <v>1185.1203400000002</v>
      </c>
      <c r="BN19" s="30">
        <v>1147.70066</v>
      </c>
      <c r="BO19" s="30">
        <v>1181.6538400000002</v>
      </c>
      <c r="BP19" s="30">
        <v>1203.6864699999999</v>
      </c>
      <c r="BQ19" s="30">
        <v>1242.3423700000001</v>
      </c>
      <c r="BR19" s="30">
        <v>1240.9018000000001</v>
      </c>
      <c r="BS19" s="30">
        <v>1188.17543</v>
      </c>
      <c r="BT19" s="30">
        <v>1204.0176100000001</v>
      </c>
      <c r="BU19" s="30">
        <v>1263.0219</v>
      </c>
      <c r="BV19" s="30">
        <v>1300.20604</v>
      </c>
      <c r="BW19" s="30">
        <v>1232.86268</v>
      </c>
      <c r="BX19" s="30">
        <v>1268.07826</v>
      </c>
      <c r="BY19" s="30">
        <v>1292.3129199999998</v>
      </c>
      <c r="BZ19" s="30">
        <v>1271.81449</v>
      </c>
      <c r="CA19" s="30">
        <v>1327.5010400000001</v>
      </c>
      <c r="CB19" s="30">
        <v>1391.8067100000001</v>
      </c>
      <c r="CC19" s="30">
        <v>1322.7688000000001</v>
      </c>
      <c r="CD19" s="30">
        <v>1444.6949199999999</v>
      </c>
      <c r="CE19" s="30">
        <v>1426.03819</v>
      </c>
      <c r="CF19" s="30">
        <v>1413.7851799999999</v>
      </c>
      <c r="CG19" s="30">
        <v>1115.77782</v>
      </c>
      <c r="CH19" s="30">
        <v>1156.4586000000002</v>
      </c>
      <c r="CI19" s="30">
        <v>1073.8777600000001</v>
      </c>
      <c r="CJ19" s="30">
        <v>1053.3203700000001</v>
      </c>
      <c r="CK19" s="30">
        <v>1002.6991400000001</v>
      </c>
      <c r="CL19" s="30">
        <v>991.83067000000005</v>
      </c>
      <c r="CM19" s="30">
        <v>1017.0301800000001</v>
      </c>
      <c r="CN19" s="30">
        <v>1068.26855</v>
      </c>
      <c r="CO19" s="30">
        <v>1106.6307400000001</v>
      </c>
      <c r="CP19" s="30">
        <v>1162.2261699999999</v>
      </c>
      <c r="CQ19" s="30">
        <v>1108.07026</v>
      </c>
      <c r="CR19" s="30">
        <v>1176.8873100000001</v>
      </c>
      <c r="CS19" s="29">
        <v>1241.44975</v>
      </c>
      <c r="CT19" s="29">
        <v>1204.75468</v>
      </c>
      <c r="CU19" s="29">
        <v>1073.9158799999998</v>
      </c>
      <c r="CV19" s="29">
        <v>996.76373999999998</v>
      </c>
      <c r="CW19" s="29">
        <v>1023.16977</v>
      </c>
      <c r="CX19" s="29">
        <v>988.39738999999997</v>
      </c>
      <c r="CY19" s="29">
        <f>1146339.44/1000</f>
        <v>1146.33944</v>
      </c>
      <c r="CZ19" s="29">
        <f>999995.88/1000</f>
        <v>999.99588000000006</v>
      </c>
      <c r="DA19" s="29">
        <f>925564.52/1000</f>
        <v>925.56452000000002</v>
      </c>
      <c r="DB19" s="29">
        <v>970.53246999999999</v>
      </c>
      <c r="DC19" s="29">
        <f>1018676.43/1000</f>
        <v>1018.6764300000001</v>
      </c>
      <c r="DD19" s="29">
        <f>1125989.46/1000</f>
        <v>1125.98946</v>
      </c>
      <c r="DE19" s="29">
        <f>1061437.52/1000</f>
        <v>1061.4375199999999</v>
      </c>
      <c r="DF19" s="29">
        <v>1094.7135499999999</v>
      </c>
      <c r="DG19" s="29">
        <f>1072312.01/1000</f>
        <v>1072.3120100000001</v>
      </c>
      <c r="DH19" s="29">
        <v>1111.5490300000001</v>
      </c>
      <c r="DI19" s="29">
        <v>1241.95027</v>
      </c>
      <c r="DJ19" s="29">
        <v>1263.45021</v>
      </c>
      <c r="DK19" s="29">
        <v>1022.32131</v>
      </c>
      <c r="DL19" s="29">
        <v>973.70487000000003</v>
      </c>
      <c r="DM19" s="29">
        <v>1035.5924</v>
      </c>
      <c r="DN19" s="29">
        <v>1157.1363999999999</v>
      </c>
      <c r="DO19" s="29">
        <v>1209.34249</v>
      </c>
      <c r="DP19" s="29">
        <v>1336.4761799999999</v>
      </c>
      <c r="DQ19" s="29">
        <v>1318.4288799999999</v>
      </c>
      <c r="DR19" s="29">
        <v>1184.91527</v>
      </c>
      <c r="DS19" s="29">
        <v>3509.7158100000001</v>
      </c>
      <c r="DT19" s="29">
        <v>1152.20712</v>
      </c>
      <c r="DU19" s="29">
        <v>1330.4506899999999</v>
      </c>
      <c r="DV19" s="29">
        <v>1321.65571</v>
      </c>
      <c r="DW19" s="29">
        <v>1339.1841999999999</v>
      </c>
      <c r="DX19" s="29">
        <v>1337.86106</v>
      </c>
      <c r="DY19" s="29">
        <v>1356.6169</v>
      </c>
      <c r="DZ19" s="29">
        <v>1441.64465</v>
      </c>
    </row>
    <row r="20" spans="2:130" s="66" customFormat="1" x14ac:dyDescent="0.3">
      <c r="B20" s="41" t="s">
        <v>29</v>
      </c>
      <c r="C20" s="43" t="s">
        <v>30</v>
      </c>
      <c r="D20" s="67">
        <v>0</v>
      </c>
      <c r="E20" s="67">
        <v>0</v>
      </c>
      <c r="F20" s="67">
        <v>0</v>
      </c>
      <c r="G20" s="67">
        <v>0</v>
      </c>
      <c r="H20" s="67">
        <v>0</v>
      </c>
      <c r="I20" s="67">
        <v>0</v>
      </c>
      <c r="J20" s="67">
        <v>68250.706540000014</v>
      </c>
      <c r="K20" s="67">
        <v>0</v>
      </c>
      <c r="L20" s="67">
        <v>71573.321159999992</v>
      </c>
      <c r="M20" s="67">
        <v>73308.317810000008</v>
      </c>
      <c r="N20" s="67">
        <v>73886.83524</v>
      </c>
      <c r="O20" s="67">
        <v>0</v>
      </c>
      <c r="P20" s="67">
        <v>0</v>
      </c>
      <c r="Q20" s="67">
        <v>0</v>
      </c>
      <c r="R20" s="67">
        <v>2.3999999999999998E-4</v>
      </c>
      <c r="S20" s="67">
        <v>2.3999999999999998E-4</v>
      </c>
      <c r="T20" s="67">
        <v>2.3999999999999998E-4</v>
      </c>
      <c r="U20" s="67">
        <v>2.3999999999999998E-4</v>
      </c>
      <c r="V20" s="67">
        <v>2.3999999999999998E-4</v>
      </c>
      <c r="W20" s="67">
        <v>2.3999999999999998E-4</v>
      </c>
      <c r="X20" s="67">
        <v>2.3999999999999998E-4</v>
      </c>
      <c r="Y20" s="67">
        <v>2.3999999999999998E-4</v>
      </c>
      <c r="Z20" s="67">
        <v>2.3999999999999998E-4</v>
      </c>
      <c r="AA20" s="67">
        <v>2.3999999999999998E-4</v>
      </c>
      <c r="AB20" s="67">
        <v>5000.0002400000003</v>
      </c>
      <c r="AC20" s="67">
        <v>5000.0002400000003</v>
      </c>
      <c r="AD20" s="67">
        <v>2.3999999999999998E-4</v>
      </c>
      <c r="AE20" s="67">
        <v>2.3999999999999998E-4</v>
      </c>
      <c r="AF20" s="67">
        <v>2.3999999999999998E-4</v>
      </c>
      <c r="AG20" s="67">
        <v>23.89227</v>
      </c>
      <c r="AH20" s="67">
        <v>2.3999999999999998E-4</v>
      </c>
      <c r="AI20" s="67">
        <v>2.3999999999999998E-4</v>
      </c>
      <c r="AJ20" s="67">
        <v>2.3999999999999998E-4</v>
      </c>
      <c r="AK20" s="67">
        <v>2.3999999999999998E-4</v>
      </c>
      <c r="AL20" s="67">
        <v>2.3999999999999998E-4</v>
      </c>
      <c r="AM20" s="67">
        <v>2.3999999999999998E-4</v>
      </c>
      <c r="AN20" s="67">
        <v>2.3999999999999998E-4</v>
      </c>
      <c r="AO20" s="67">
        <v>2.3999999999999998E-4</v>
      </c>
      <c r="AP20" s="67">
        <v>2.3999999999999998E-4</v>
      </c>
      <c r="AQ20" s="67">
        <v>2.3999999999999998E-4</v>
      </c>
      <c r="AR20" s="67">
        <v>2.3999999999999998E-4</v>
      </c>
      <c r="AS20" s="67">
        <v>2.3999999999999998E-4</v>
      </c>
      <c r="AT20" s="67">
        <v>2.3999999999999998E-4</v>
      </c>
      <c r="AU20" s="67">
        <v>2.3999999999999998E-4</v>
      </c>
      <c r="AV20" s="67">
        <v>2.3999999999999998E-4</v>
      </c>
      <c r="AW20" s="67">
        <v>2.3999999999999998E-4</v>
      </c>
      <c r="AX20" s="67">
        <v>0</v>
      </c>
      <c r="AY20" s="67">
        <v>0</v>
      </c>
      <c r="AZ20" s="67">
        <v>0</v>
      </c>
      <c r="BA20" s="67">
        <v>0</v>
      </c>
      <c r="BB20" s="67">
        <v>0</v>
      </c>
      <c r="BC20" s="67">
        <v>0</v>
      </c>
      <c r="BD20" s="67">
        <v>0</v>
      </c>
      <c r="BE20" s="67">
        <v>0</v>
      </c>
      <c r="BF20" s="67">
        <v>0</v>
      </c>
      <c r="BG20" s="67">
        <v>0</v>
      </c>
      <c r="BH20" s="67">
        <v>0</v>
      </c>
      <c r="BI20" s="67">
        <v>0</v>
      </c>
      <c r="BJ20" s="67">
        <v>0</v>
      </c>
      <c r="BK20" s="67">
        <v>0</v>
      </c>
      <c r="BL20" s="67">
        <v>0</v>
      </c>
      <c r="BM20" s="30">
        <v>0</v>
      </c>
      <c r="BN20" s="30">
        <v>0</v>
      </c>
      <c r="BO20" s="30">
        <v>0</v>
      </c>
      <c r="BP20" s="30">
        <v>0</v>
      </c>
      <c r="BQ20" s="30">
        <v>0</v>
      </c>
      <c r="BR20" s="30">
        <v>0</v>
      </c>
      <c r="BS20" s="30">
        <v>0</v>
      </c>
      <c r="BT20" s="33" t="s">
        <v>85</v>
      </c>
      <c r="BU20" s="33">
        <v>0</v>
      </c>
      <c r="BV20" s="33">
        <v>0</v>
      </c>
      <c r="BW20" s="33">
        <v>0</v>
      </c>
      <c r="BX20" s="33">
        <v>0</v>
      </c>
      <c r="BY20" s="33">
        <v>0</v>
      </c>
      <c r="BZ20" s="33">
        <v>0</v>
      </c>
      <c r="CA20" s="33">
        <v>0</v>
      </c>
      <c r="CB20" s="33">
        <v>0</v>
      </c>
      <c r="CC20" s="33">
        <v>0</v>
      </c>
      <c r="CD20" s="33">
        <v>0</v>
      </c>
      <c r="CE20" s="33">
        <v>0</v>
      </c>
      <c r="CF20" s="33">
        <v>0</v>
      </c>
      <c r="CG20" s="33">
        <v>0</v>
      </c>
      <c r="CH20" s="33">
        <v>0</v>
      </c>
      <c r="CI20" s="33">
        <v>0</v>
      </c>
      <c r="CJ20" s="33">
        <v>0</v>
      </c>
      <c r="CK20" s="33">
        <v>0</v>
      </c>
      <c r="CL20" s="33">
        <v>0</v>
      </c>
      <c r="CM20" s="33">
        <v>0</v>
      </c>
      <c r="CN20" s="33">
        <v>0</v>
      </c>
      <c r="CO20" s="33">
        <v>0</v>
      </c>
      <c r="CP20" s="33">
        <v>0</v>
      </c>
      <c r="CQ20" s="33">
        <v>0</v>
      </c>
      <c r="CR20" s="33">
        <v>0</v>
      </c>
      <c r="CS20" s="34">
        <v>0</v>
      </c>
      <c r="CT20" s="34">
        <v>0</v>
      </c>
      <c r="CU20" s="34">
        <v>0</v>
      </c>
      <c r="CV20" s="34">
        <v>0</v>
      </c>
      <c r="CW20" s="34">
        <v>0</v>
      </c>
      <c r="CX20" s="34">
        <v>0</v>
      </c>
      <c r="CY20" s="34">
        <v>0</v>
      </c>
      <c r="CZ20" s="34">
        <v>0</v>
      </c>
      <c r="DA20" s="34">
        <v>0</v>
      </c>
      <c r="DB20" s="27">
        <v>0</v>
      </c>
      <c r="DC20" s="27">
        <v>0</v>
      </c>
      <c r="DD20" s="27">
        <v>0</v>
      </c>
      <c r="DE20" s="27">
        <v>0</v>
      </c>
      <c r="DF20" s="27">
        <v>0</v>
      </c>
      <c r="DG20" s="27">
        <v>0</v>
      </c>
      <c r="DH20" s="27">
        <v>0</v>
      </c>
      <c r="DI20" s="27"/>
      <c r="DJ20" s="27"/>
      <c r="DK20" s="27"/>
      <c r="DL20" s="27"/>
      <c r="DM20" s="27"/>
      <c r="DN20" s="27"/>
      <c r="DO20" s="27"/>
      <c r="DP20" s="27"/>
      <c r="DQ20" s="27"/>
      <c r="DR20" s="27">
        <v>0</v>
      </c>
      <c r="DS20" s="27">
        <v>0</v>
      </c>
      <c r="DT20" s="27">
        <v>0</v>
      </c>
      <c r="DU20" s="27">
        <v>0</v>
      </c>
      <c r="DV20" s="27">
        <v>0</v>
      </c>
      <c r="DW20" s="27">
        <v>0</v>
      </c>
      <c r="DX20" s="27">
        <v>0</v>
      </c>
      <c r="DY20" s="27">
        <v>0</v>
      </c>
      <c r="DZ20" s="27">
        <v>0</v>
      </c>
    </row>
    <row r="21" spans="2:130" s="66" customFormat="1" x14ac:dyDescent="0.3">
      <c r="B21" s="41">
        <v>5</v>
      </c>
      <c r="C21" s="43" t="s">
        <v>56</v>
      </c>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v>3036.386</v>
      </c>
      <c r="AW21" s="67">
        <v>4733.1246100000008</v>
      </c>
      <c r="AX21" s="67">
        <v>6613.1929</v>
      </c>
      <c r="AY21" s="67">
        <v>5092.3099699999993</v>
      </c>
      <c r="AZ21" s="67">
        <v>1657.43049</v>
      </c>
      <c r="BA21" s="67">
        <v>3135.5562999999997</v>
      </c>
      <c r="BB21" s="67">
        <v>4735.4725599999992</v>
      </c>
      <c r="BC21" s="67">
        <v>6266.0903600000001</v>
      </c>
      <c r="BD21" s="67">
        <v>8523.5369300000002</v>
      </c>
      <c r="BE21" s="67">
        <v>10150.322630000001</v>
      </c>
      <c r="BF21" s="67">
        <v>11821.520199999999</v>
      </c>
      <c r="BG21" s="67">
        <v>13739.47392</v>
      </c>
      <c r="BH21" s="67">
        <v>15335.13032</v>
      </c>
      <c r="BI21" s="67">
        <v>17060.577379999999</v>
      </c>
      <c r="BJ21" s="67">
        <v>18762.970380000002</v>
      </c>
      <c r="BK21" s="67">
        <v>0</v>
      </c>
      <c r="BL21" s="67">
        <v>2006.28415</v>
      </c>
      <c r="BM21" s="30">
        <v>3831.9635899999998</v>
      </c>
      <c r="BN21" s="30">
        <v>5679.0392699999993</v>
      </c>
      <c r="BO21" s="30">
        <v>7494.8021600000002</v>
      </c>
      <c r="BP21" s="30">
        <v>9409.9550099999997</v>
      </c>
      <c r="BQ21" s="30">
        <v>11426.93692</v>
      </c>
      <c r="BR21" s="30">
        <v>13522.614509999999</v>
      </c>
      <c r="BS21" s="30">
        <v>17604.255430000001</v>
      </c>
      <c r="BT21" s="30">
        <v>19609.439870000002</v>
      </c>
      <c r="BU21" s="30">
        <v>21684.087399999997</v>
      </c>
      <c r="BV21" s="30">
        <v>24048.360820000002</v>
      </c>
      <c r="BW21" s="30"/>
      <c r="BX21" s="30">
        <v>2617.6371400000003</v>
      </c>
      <c r="BY21" s="30">
        <v>5027.2808600000008</v>
      </c>
      <c r="BZ21" s="30">
        <v>7918.3374199999998</v>
      </c>
      <c r="CA21" s="30">
        <v>10831.18309</v>
      </c>
      <c r="CB21" s="30">
        <v>13872.957689999999</v>
      </c>
      <c r="CC21" s="30">
        <v>16830.659820000001</v>
      </c>
      <c r="CD21" s="30">
        <v>19954.967940000002</v>
      </c>
      <c r="CE21" s="30">
        <v>23230.49022</v>
      </c>
      <c r="CF21" s="30">
        <v>26394.45001</v>
      </c>
      <c r="CG21" s="30">
        <v>29923.96069</v>
      </c>
      <c r="CH21" s="30">
        <v>33392.705329999997</v>
      </c>
      <c r="CI21" s="30">
        <v>0</v>
      </c>
      <c r="CJ21" s="30">
        <v>3805.9575399999999</v>
      </c>
      <c r="CK21" s="30">
        <v>7450.1985700000005</v>
      </c>
      <c r="CL21" s="30">
        <v>11315.68015</v>
      </c>
      <c r="CM21" s="30">
        <v>15027.297570000002</v>
      </c>
      <c r="CN21" s="30">
        <v>18864.213949999998</v>
      </c>
      <c r="CO21" s="30">
        <v>22598.593519999999</v>
      </c>
      <c r="CP21" s="30">
        <v>26439.861539999998</v>
      </c>
      <c r="CQ21" s="30">
        <v>30314.969929999999</v>
      </c>
      <c r="CR21" s="30">
        <v>34099.673149999995</v>
      </c>
      <c r="CS21" s="29">
        <v>37971.418700000002</v>
      </c>
      <c r="CT21" s="29">
        <v>41750.265740000003</v>
      </c>
      <c r="CU21" s="29">
        <v>0</v>
      </c>
      <c r="CV21" s="29">
        <v>3830.8869799999998</v>
      </c>
      <c r="CW21" s="29">
        <v>7339.2113400000007</v>
      </c>
      <c r="CX21" s="29">
        <v>11173.44939</v>
      </c>
      <c r="CY21" s="29">
        <f>15312615.79/1000</f>
        <v>15312.61579</v>
      </c>
      <c r="CZ21" s="29">
        <f>20890918.69/1000</f>
        <v>20890.918690000002</v>
      </c>
      <c r="DA21" s="29">
        <f>26293485.96/1000</f>
        <v>26293.485960000002</v>
      </c>
      <c r="DB21" s="29">
        <v>32275.473760000001</v>
      </c>
      <c r="DC21" s="29">
        <f>39447158.14/1000</f>
        <v>39447.15814</v>
      </c>
      <c r="DD21" s="29">
        <f>45475980.64/1000</f>
        <v>45475.980640000002</v>
      </c>
      <c r="DE21" s="29">
        <f>50911372.55/1000</f>
        <v>50911.37255</v>
      </c>
      <c r="DF21" s="29">
        <v>55759.439530000003</v>
      </c>
      <c r="DG21" s="29">
        <v>0</v>
      </c>
      <c r="DH21" s="29">
        <f>5312841.46/1000</f>
        <v>5312.8414599999996</v>
      </c>
      <c r="DI21" s="29">
        <v>10821.38385</v>
      </c>
      <c r="DJ21" s="29">
        <v>16635.17092</v>
      </c>
      <c r="DK21" s="29">
        <v>21229.521909999999</v>
      </c>
      <c r="DL21" s="29">
        <v>26470.40754</v>
      </c>
      <c r="DM21" s="29">
        <v>29975.02434</v>
      </c>
      <c r="DN21" s="29">
        <v>38063.696880000003</v>
      </c>
      <c r="DO21" s="29">
        <v>44579.868849999999</v>
      </c>
      <c r="DP21" s="29">
        <v>51242.860110000001</v>
      </c>
      <c r="DQ21" s="29">
        <v>58445.571969999997</v>
      </c>
      <c r="DR21" s="29">
        <v>66413.665479999996</v>
      </c>
      <c r="DS21" s="27">
        <v>0</v>
      </c>
      <c r="DT21" s="29">
        <v>9938.0146400000012</v>
      </c>
      <c r="DU21" s="29">
        <v>20153.14271</v>
      </c>
      <c r="DV21" s="29">
        <v>33174.51384</v>
      </c>
      <c r="DW21" s="29">
        <v>44249.097329999997</v>
      </c>
      <c r="DX21" s="29">
        <v>55417.569320000002</v>
      </c>
      <c r="DY21" s="29">
        <v>66231.685119999995</v>
      </c>
      <c r="DZ21" s="29">
        <v>77359.405069999993</v>
      </c>
    </row>
    <row r="22" spans="2:130" x14ac:dyDescent="0.3">
      <c r="B22" s="36"/>
      <c r="C22" s="37"/>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v>0</v>
      </c>
      <c r="AX22" s="62">
        <v>0</v>
      </c>
      <c r="AY22" s="62">
        <v>0</v>
      </c>
      <c r="AZ22" s="62">
        <v>0</v>
      </c>
      <c r="BA22" s="62">
        <v>0</v>
      </c>
      <c r="BB22" s="62">
        <v>0</v>
      </c>
      <c r="BC22" s="62">
        <v>0</v>
      </c>
      <c r="BD22" s="62">
        <v>0</v>
      </c>
      <c r="BE22" s="62">
        <v>0</v>
      </c>
      <c r="BF22" s="62">
        <v>0</v>
      </c>
      <c r="BG22" s="62">
        <v>0</v>
      </c>
      <c r="BH22" s="62">
        <v>0</v>
      </c>
      <c r="BI22" s="62">
        <v>0</v>
      </c>
      <c r="BJ22" s="62">
        <v>0</v>
      </c>
      <c r="BK22" s="62">
        <v>0</v>
      </c>
      <c r="BL22" s="62">
        <v>0</v>
      </c>
      <c r="BM22" s="28">
        <v>0</v>
      </c>
      <c r="BN22" s="28"/>
      <c r="BO22" s="28"/>
      <c r="BP22" s="28"/>
      <c r="BQ22" s="28">
        <v>0</v>
      </c>
      <c r="BR22" s="28"/>
      <c r="BS22" s="28"/>
      <c r="BT22" s="28"/>
      <c r="BU22" s="28"/>
      <c r="BV22" s="28"/>
      <c r="BW22" s="28"/>
      <c r="BX22" s="28"/>
      <c r="BY22" s="28"/>
      <c r="BZ22" s="28"/>
      <c r="CA22" s="28"/>
      <c r="CB22" s="28"/>
      <c r="CC22" s="28"/>
      <c r="CD22" s="28">
        <v>0</v>
      </c>
      <c r="CE22" s="28">
        <v>0</v>
      </c>
      <c r="CF22" s="28"/>
      <c r="CG22" s="28"/>
      <c r="CH22" s="28"/>
      <c r="CI22" s="28"/>
      <c r="CJ22" s="28"/>
      <c r="CK22" s="28"/>
      <c r="CL22" s="28"/>
      <c r="CM22" s="28"/>
      <c r="CN22" s="28"/>
      <c r="CO22" s="28"/>
      <c r="CP22" s="28"/>
      <c r="CQ22" s="28"/>
      <c r="CR22" s="28"/>
      <c r="CS22" s="28"/>
      <c r="CT22" s="28"/>
      <c r="CU22" s="28"/>
      <c r="CV22" s="28"/>
      <c r="CW22" s="28"/>
      <c r="CX22" s="28"/>
      <c r="CY22" s="28"/>
      <c r="CZ22" s="28"/>
      <c r="DA22" s="28"/>
      <c r="DB22" s="27"/>
      <c r="DC22" s="27"/>
      <c r="DD22" s="27"/>
      <c r="DE22" s="27"/>
      <c r="DF22" s="27"/>
      <c r="DG22" s="27"/>
      <c r="DH22" s="27"/>
      <c r="DI22" s="27"/>
      <c r="DJ22" s="27"/>
      <c r="DK22" s="27"/>
      <c r="DL22" s="27"/>
      <c r="DM22" s="27"/>
      <c r="DN22" s="27"/>
      <c r="DO22" s="27"/>
      <c r="DP22" s="27"/>
      <c r="DQ22" s="27"/>
      <c r="DR22" s="27"/>
      <c r="DS22" s="27"/>
      <c r="DT22" s="27">
        <v>0</v>
      </c>
      <c r="DU22" s="27">
        <v>0</v>
      </c>
      <c r="DV22" s="27">
        <v>0</v>
      </c>
      <c r="DW22" s="27">
        <v>0</v>
      </c>
      <c r="DX22" s="27">
        <v>0</v>
      </c>
      <c r="DY22" s="27">
        <v>0</v>
      </c>
      <c r="DZ22" s="27">
        <v>0</v>
      </c>
    </row>
    <row r="23" spans="2:130" x14ac:dyDescent="0.3">
      <c r="B23" s="36">
        <v>3</v>
      </c>
      <c r="C23" s="37" t="s">
        <v>77</v>
      </c>
      <c r="D23" s="61">
        <v>636427.39296000008</v>
      </c>
      <c r="E23" s="61">
        <v>651437.4635800001</v>
      </c>
      <c r="F23" s="61">
        <v>665823.90379999997</v>
      </c>
      <c r="G23" s="61">
        <v>680703.87474</v>
      </c>
      <c r="H23" s="61">
        <v>695167.67573000002</v>
      </c>
      <c r="I23" s="61">
        <v>709798.50873999996</v>
      </c>
      <c r="J23" s="61">
        <v>656226.60291000002</v>
      </c>
      <c r="K23" s="61">
        <v>669350.04471000005</v>
      </c>
      <c r="L23" s="61">
        <v>682547.90467999992</v>
      </c>
      <c r="M23" s="61">
        <v>695863.45725999994</v>
      </c>
      <c r="N23" s="61">
        <v>709272.74294000003</v>
      </c>
      <c r="O23" s="61">
        <v>721287.74194000009</v>
      </c>
      <c r="P23" s="61">
        <v>736667.64346000005</v>
      </c>
      <c r="Q23" s="61">
        <v>753070.34011999995</v>
      </c>
      <c r="R23" s="61">
        <v>767946.32638999994</v>
      </c>
      <c r="S23" s="61">
        <v>783366.58709000004</v>
      </c>
      <c r="T23" s="61">
        <v>796985.0602999999</v>
      </c>
      <c r="U23" s="61">
        <v>798405.67434000003</v>
      </c>
      <c r="V23" s="61">
        <v>799898.35149000003</v>
      </c>
      <c r="W23" s="61">
        <v>841478.08945000009</v>
      </c>
      <c r="X23" s="61">
        <v>842832.95685000008</v>
      </c>
      <c r="Y23" s="61">
        <v>871525.97148000007</v>
      </c>
      <c r="Z23" s="61">
        <v>886742.42700000003</v>
      </c>
      <c r="AA23" s="61">
        <v>902376.56709000003</v>
      </c>
      <c r="AB23" s="61">
        <v>918452.70615999994</v>
      </c>
      <c r="AC23" s="61">
        <v>920000.40287999995</v>
      </c>
      <c r="AD23" s="61">
        <v>950377.26059000008</v>
      </c>
      <c r="AE23" s="61">
        <v>966835.73677999992</v>
      </c>
      <c r="AF23" s="61">
        <v>982862.01114999992</v>
      </c>
      <c r="AG23" s="61">
        <v>998471.15755999996</v>
      </c>
      <c r="AH23" s="61">
        <v>1014016.77933</v>
      </c>
      <c r="AI23" s="61">
        <v>1029421.15478</v>
      </c>
      <c r="AJ23" s="61">
        <v>1044316.50422</v>
      </c>
      <c r="AK23" s="61">
        <v>1059432.28819</v>
      </c>
      <c r="AL23" s="61">
        <v>1074228.9712799999</v>
      </c>
      <c r="AM23" s="61">
        <v>1089147.1566900001</v>
      </c>
      <c r="AN23" s="61">
        <v>1103945.5025299999</v>
      </c>
      <c r="AO23" s="61">
        <v>1118833.04669</v>
      </c>
      <c r="AP23" s="61">
        <v>1133971.13078</v>
      </c>
      <c r="AQ23" s="61">
        <v>1148916.96383</v>
      </c>
      <c r="AR23" s="61">
        <v>1164319.7718499999</v>
      </c>
      <c r="AS23" s="61">
        <v>1179435.98841</v>
      </c>
      <c r="AT23" s="61">
        <v>1194604.8214400001</v>
      </c>
      <c r="AU23" s="61">
        <v>1179519.1615799998</v>
      </c>
      <c r="AV23" s="61">
        <v>1191515.4437299999</v>
      </c>
      <c r="AW23" s="61">
        <v>1205127.52516</v>
      </c>
      <c r="AX23" s="61">
        <v>1219021.4407299999</v>
      </c>
      <c r="AY23" s="61">
        <v>1235529.96306</v>
      </c>
      <c r="AZ23" s="61">
        <v>1211357.0120699999</v>
      </c>
      <c r="BA23" s="61">
        <v>1226062.4979700001</v>
      </c>
      <c r="BB23" s="61">
        <v>1240576.9256099998</v>
      </c>
      <c r="BC23" s="61">
        <v>1254897.1804099998</v>
      </c>
      <c r="BD23" s="61">
        <v>1270026.35051</v>
      </c>
      <c r="BE23" s="61">
        <v>1284510.0813699998</v>
      </c>
      <c r="BF23" s="61">
        <v>1299258.19897</v>
      </c>
      <c r="BG23" s="61">
        <v>1313927.0745399999</v>
      </c>
      <c r="BH23" s="61">
        <v>1326952.7968599999</v>
      </c>
      <c r="BI23" s="61">
        <v>1342961.4765399999</v>
      </c>
      <c r="BJ23" s="61">
        <v>1357418.50914</v>
      </c>
      <c r="BK23" s="61">
        <v>1391981.5058999998</v>
      </c>
      <c r="BL23" s="61">
        <v>1407060.7225899999</v>
      </c>
      <c r="BM23" s="28">
        <v>1407060.7225899999</v>
      </c>
      <c r="BN23" s="28">
        <v>1437423.4697100001</v>
      </c>
      <c r="BO23" s="28">
        <v>1452875.2148599999</v>
      </c>
      <c r="BP23" s="28">
        <v>1468356.6401399998</v>
      </c>
      <c r="BQ23" s="28">
        <v>1483560.54684</v>
      </c>
      <c r="BR23" s="28">
        <v>1498740.96627</v>
      </c>
      <c r="BS23" s="28">
        <v>1513988.5929700001</v>
      </c>
      <c r="BT23" s="28">
        <v>1529308.7025100002</v>
      </c>
      <c r="BU23" s="28">
        <v>1544662.99456</v>
      </c>
      <c r="BV23" s="28">
        <v>1544662.99456</v>
      </c>
      <c r="BW23" s="28">
        <v>1600512.5974499998</v>
      </c>
      <c r="BX23" s="28">
        <v>1616029.9681599999</v>
      </c>
      <c r="BY23" s="28">
        <v>1631501.4346399999</v>
      </c>
      <c r="BZ23" s="28">
        <v>1646990.7033200001</v>
      </c>
      <c r="CA23" s="28">
        <v>1662754.8817900002</v>
      </c>
      <c r="CB23" s="28">
        <v>1678734.4581100002</v>
      </c>
      <c r="CC23" s="28">
        <v>1694613.6231200001</v>
      </c>
      <c r="CD23" s="28">
        <v>1710545.7427600001</v>
      </c>
      <c r="CE23" s="28">
        <v>1726488.9753399999</v>
      </c>
      <c r="CF23" s="28">
        <v>1742685.5635200001</v>
      </c>
      <c r="CG23" s="28">
        <v>1758823.0756600001</v>
      </c>
      <c r="CH23" s="28">
        <v>1774945.3194300001</v>
      </c>
      <c r="CI23" s="28">
        <v>1826938.3748300001</v>
      </c>
      <c r="CJ23" s="28">
        <v>1826938.3748300001</v>
      </c>
      <c r="CK23" s="28">
        <v>1860418.1999900001</v>
      </c>
      <c r="CL23" s="28">
        <v>1877337.3846100001</v>
      </c>
      <c r="CM23" s="28">
        <v>1877337.38047</v>
      </c>
      <c r="CN23" s="28">
        <v>1877337.38047</v>
      </c>
      <c r="CO23" s="28">
        <v>1877343.20456</v>
      </c>
      <c r="CP23" s="28">
        <v>1944567.02293</v>
      </c>
      <c r="CQ23" s="28">
        <v>1961547.44334</v>
      </c>
      <c r="CR23" s="28">
        <v>1978650.7178720001</v>
      </c>
      <c r="CS23" s="27">
        <v>1996023.0040599999</v>
      </c>
      <c r="CT23" s="27">
        <v>2013726.6694200002</v>
      </c>
      <c r="CU23" s="27">
        <v>2075746.78498</v>
      </c>
      <c r="CV23" s="27">
        <v>2075746.78498</v>
      </c>
      <c r="CW23" s="27">
        <v>2075746.78498</v>
      </c>
      <c r="CX23" s="27">
        <v>2075746.78498</v>
      </c>
      <c r="CY23" s="27">
        <f>2131397818.64/1000</f>
        <v>2131397.8186400002</v>
      </c>
      <c r="CZ23" s="27">
        <f>2168807467.47/1000</f>
        <v>2168807.4674699996</v>
      </c>
      <c r="DA23" s="27">
        <f>2187702538.62/1000</f>
        <v>2187702.5386199998</v>
      </c>
      <c r="DB23" s="27">
        <v>2187844.6776300003</v>
      </c>
      <c r="DC23" s="27">
        <f>2225915575.76/1000</f>
        <v>2225915.5757600004</v>
      </c>
      <c r="DD23" s="27">
        <f>2245094787.89/1000</f>
        <v>2245094.7878899998</v>
      </c>
      <c r="DE23" s="27">
        <f>2245094787.89/1000</f>
        <v>2245094.7878899998</v>
      </c>
      <c r="DF23" s="27">
        <f>2284322308.53/1000</f>
        <v>2284322.30853</v>
      </c>
      <c r="DG23" s="27">
        <f>2352514799.44/1000</f>
        <v>2352514.7994400002</v>
      </c>
      <c r="DH23" s="27">
        <v>2372815.8946599998</v>
      </c>
      <c r="DI23" s="27">
        <v>2393271.6022600001</v>
      </c>
      <c r="DJ23" s="27">
        <v>2413889.7362100002</v>
      </c>
      <c r="DK23" s="27">
        <v>2434350.0183200003</v>
      </c>
      <c r="DL23" s="27">
        <v>2442982.7443000004</v>
      </c>
      <c r="DM23" s="27">
        <v>2475362.7649099999</v>
      </c>
      <c r="DN23" s="27">
        <v>2496108.7706500003</v>
      </c>
      <c r="DO23" s="27">
        <v>2516650.3578600003</v>
      </c>
      <c r="DP23" s="27">
        <v>2537189.9470900004</v>
      </c>
      <c r="DQ23" s="27">
        <v>2539920.96532</v>
      </c>
      <c r="DR23" s="27">
        <v>2542317.1024499997</v>
      </c>
      <c r="DS23" s="27">
        <v>2601304.7226499999</v>
      </c>
      <c r="DT23" s="27">
        <v>2606484.8843999999</v>
      </c>
      <c r="DU23" s="27">
        <v>2609214.6046799999</v>
      </c>
      <c r="DV23" s="27">
        <v>2612154.9687199998</v>
      </c>
      <c r="DW23" s="27">
        <v>2615034.0560300001</v>
      </c>
      <c r="DX23" s="27">
        <v>2617949.4455800001</v>
      </c>
      <c r="DY23" s="27">
        <v>2620828.8105900004</v>
      </c>
      <c r="DZ23" s="27">
        <v>2623692.7095699999</v>
      </c>
    </row>
    <row r="24" spans="2:130" x14ac:dyDescent="0.3">
      <c r="B24" s="36"/>
      <c r="C24" s="37"/>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28"/>
      <c r="BN24" s="28"/>
      <c r="BO24" s="28"/>
      <c r="BP24" s="68"/>
      <c r="BQ24" s="68"/>
      <c r="BR24" s="68"/>
      <c r="BS24" s="68"/>
      <c r="BT24" s="68"/>
      <c r="BU24" s="68"/>
      <c r="BV24" s="68"/>
      <c r="BW24" s="68"/>
      <c r="BX24" s="68"/>
      <c r="BY24" s="68"/>
      <c r="BZ24" s="68"/>
      <c r="CA24" s="68"/>
      <c r="CB24" s="68"/>
      <c r="CC24" s="68"/>
      <c r="CD24" s="68"/>
      <c r="CE24" s="68"/>
      <c r="CF24" s="68"/>
      <c r="CG24" s="68"/>
      <c r="CH24" s="68"/>
      <c r="CI24" s="68"/>
      <c r="CJ24" s="69"/>
      <c r="CK24" s="69"/>
      <c r="CL24" s="69"/>
      <c r="CM24" s="69"/>
      <c r="CN24" s="69"/>
      <c r="CO24" s="69"/>
      <c r="CP24" s="69"/>
      <c r="CQ24" s="69"/>
      <c r="CR24" s="69"/>
      <c r="CS24" s="35"/>
      <c r="CT24" s="35"/>
      <c r="CU24" s="35"/>
      <c r="CV24" s="35"/>
      <c r="CW24" s="35"/>
      <c r="CX24" s="35"/>
      <c r="CY24" s="35"/>
      <c r="CZ24" s="35"/>
      <c r="DA24" s="35"/>
      <c r="DB24" s="27"/>
      <c r="DC24" s="27"/>
      <c r="DD24" s="27"/>
      <c r="DE24" s="27"/>
      <c r="DF24" s="27"/>
      <c r="DG24" s="27"/>
      <c r="DH24" s="27"/>
      <c r="DI24" s="27"/>
      <c r="DJ24" s="27"/>
      <c r="DK24" s="27"/>
      <c r="DL24" s="27"/>
      <c r="DM24" s="27"/>
      <c r="DN24" s="27"/>
      <c r="DO24" s="27"/>
      <c r="DP24" s="27"/>
      <c r="DQ24" s="27"/>
      <c r="DR24" s="27"/>
      <c r="DS24" s="27"/>
      <c r="DT24" s="27">
        <v>0</v>
      </c>
      <c r="DU24" s="27">
        <v>0</v>
      </c>
      <c r="DV24" s="27">
        <v>0</v>
      </c>
      <c r="DW24" s="27">
        <v>0</v>
      </c>
      <c r="DX24" s="27">
        <v>0</v>
      </c>
      <c r="DY24" s="27">
        <v>0</v>
      </c>
      <c r="DZ24" s="27">
        <v>0</v>
      </c>
    </row>
    <row r="25" spans="2:130" x14ac:dyDescent="0.3">
      <c r="B25" s="39"/>
      <c r="C25" s="40" t="s">
        <v>62</v>
      </c>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4">
        <f>+AV23+AV18+AV21</f>
        <v>1194840.2866399998</v>
      </c>
      <c r="AW25" s="64">
        <f t="shared" ref="AW25:AY25" si="1">+AW23+AW18+AW21</f>
        <v>1210290.8833900001</v>
      </c>
      <c r="AX25" s="64">
        <f t="shared" si="1"/>
        <v>1226210.9106599998</v>
      </c>
      <c r="AY25" s="64">
        <f t="shared" si="1"/>
        <v>1241340.9692299999</v>
      </c>
      <c r="AZ25" s="64">
        <f>+AZ23+AZ18+AZ21</f>
        <v>1213494.2839499998</v>
      </c>
      <c r="BA25" s="64">
        <v>1229543.70584</v>
      </c>
      <c r="BB25" s="64">
        <v>1245510.3119199998</v>
      </c>
      <c r="BC25" s="64">
        <v>1262782.4934399999</v>
      </c>
      <c r="BD25" s="64">
        <v>1280186.2335300001</v>
      </c>
      <c r="BE25" s="64">
        <v>1296308.82556</v>
      </c>
      <c r="BF25" s="64">
        <v>1312627.20695</v>
      </c>
      <c r="BG25" s="64">
        <v>1328804.2131500002</v>
      </c>
      <c r="BH25" s="64">
        <v>1343413.2331499998</v>
      </c>
      <c r="BI25" s="64">
        <v>1361187.31225</v>
      </c>
      <c r="BJ25" s="64">
        <v>1377382.45245</v>
      </c>
      <c r="BK25" s="64">
        <v>1393225.2643899999</v>
      </c>
      <c r="BL25" s="64">
        <v>1410300.3613199999</v>
      </c>
      <c r="BM25" s="32">
        <v>1412077.8065199996</v>
      </c>
      <c r="BN25" s="32">
        <v>1444250.20964</v>
      </c>
      <c r="BO25" s="32">
        <v>1461551.67086</v>
      </c>
      <c r="BP25" s="32">
        <v>1478970.2816199998</v>
      </c>
      <c r="BQ25" s="32">
        <v>1496229.8261299999</v>
      </c>
      <c r="BR25" s="32">
        <v>1513504.4825799998</v>
      </c>
      <c r="BS25" s="32">
        <v>1532781.0238300001</v>
      </c>
      <c r="BT25" s="32">
        <v>1550122.1599900001</v>
      </c>
      <c r="BU25" s="32">
        <v>1567610.1038600001</v>
      </c>
      <c r="BV25" s="32">
        <v>1570011.5614199999</v>
      </c>
      <c r="BW25" s="32">
        <v>1601745.4601299998</v>
      </c>
      <c r="BX25" s="32">
        <v>1619915.68356</v>
      </c>
      <c r="BY25" s="32">
        <v>1637821.0284199999</v>
      </c>
      <c r="BZ25" s="32">
        <v>1656180.8552300003</v>
      </c>
      <c r="CA25" s="32">
        <v>1674913.56592</v>
      </c>
      <c r="CB25" s="32">
        <v>1693999.2225100002</v>
      </c>
      <c r="CC25" s="32">
        <v>1712767.05174</v>
      </c>
      <c r="CD25" s="32">
        <v>1731945.4056200001</v>
      </c>
      <c r="CE25" s="32">
        <v>1751145.5037499999</v>
      </c>
      <c r="CF25" s="32">
        <v>1770493.79871</v>
      </c>
      <c r="CG25" s="32">
        <v>1789862.8141700001</v>
      </c>
      <c r="CH25" s="32">
        <v>1809494.48336</v>
      </c>
      <c r="CI25" s="32">
        <v>1828012.2525900002</v>
      </c>
      <c r="CJ25" s="32">
        <v>1831797.65274</v>
      </c>
      <c r="CK25" s="32">
        <v>1868871.0977</v>
      </c>
      <c r="CL25" s="32">
        <v>1889644.8954300003</v>
      </c>
      <c r="CM25" s="32">
        <v>1893381.7082199999</v>
      </c>
      <c r="CN25" s="32">
        <v>1897269.8629700001</v>
      </c>
      <c r="CO25" s="32">
        <v>1901048.42882</v>
      </c>
      <c r="CP25" s="32">
        <v>1972169.1106400001</v>
      </c>
      <c r="CQ25" s="32">
        <v>1992970.4835300001</v>
      </c>
      <c r="CR25" s="32">
        <v>2013927.2783320001</v>
      </c>
      <c r="CS25" s="31">
        <v>2035235.8725099999</v>
      </c>
      <c r="CT25" s="31">
        <v>2056681.6898400001</v>
      </c>
      <c r="CU25" s="31">
        <v>2076820.7008600002</v>
      </c>
      <c r="CV25" s="31">
        <v>2080574.4357</v>
      </c>
      <c r="CW25" s="31">
        <v>2084109.16609</v>
      </c>
      <c r="CX25" s="31">
        <v>2087908.63176</v>
      </c>
      <c r="CY25" s="31">
        <f>2147856773.87/1000</f>
        <v>2147856.7738699997</v>
      </c>
      <c r="CZ25" s="31">
        <f>2190698382.04/1000</f>
        <v>2190698.3820400001</v>
      </c>
      <c r="DA25" s="31">
        <f>2214921589.1/1000</f>
        <v>2214921.5891</v>
      </c>
      <c r="DB25" s="31">
        <v>2221090.6838600002</v>
      </c>
      <c r="DC25" s="31">
        <f>2266381410.33/1000</f>
        <v>2266381.4103299999</v>
      </c>
      <c r="DD25" s="31">
        <f>2291696757.99/1000</f>
        <v>2291696.7579899998</v>
      </c>
      <c r="DE25" s="31">
        <f>2297067597.96/1000</f>
        <v>2297067.5979599999</v>
      </c>
      <c r="DF25" s="31">
        <v>2341176.4616100001</v>
      </c>
      <c r="DG25" s="31">
        <f>2353587111.45/1000</f>
        <v>2353587.1114499997</v>
      </c>
      <c r="DH25" s="31">
        <v>2379240.2851499999</v>
      </c>
      <c r="DI25" s="31">
        <v>2405334.9363800003</v>
      </c>
      <c r="DJ25" s="31">
        <v>2431788.3573400001</v>
      </c>
      <c r="DK25" s="31">
        <v>2456601.86154</v>
      </c>
      <c r="DL25" s="31">
        <v>2470426.85671</v>
      </c>
      <c r="DM25" s="31">
        <v>2506373.3816499999</v>
      </c>
      <c r="DN25" s="31">
        <v>2535329.6039300002</v>
      </c>
      <c r="DO25" s="31">
        <v>2562439.5691999998</v>
      </c>
      <c r="DP25" s="31">
        <v>2589769.2833799999</v>
      </c>
      <c r="DQ25" s="31">
        <v>2599684.9661699999</v>
      </c>
      <c r="DR25" s="31">
        <v>2609915.6831999999</v>
      </c>
      <c r="DS25" s="31">
        <v>2604814.4384599999</v>
      </c>
      <c r="DT25" s="31">
        <v>2617575.10616</v>
      </c>
      <c r="DU25" s="31">
        <v>2630698.19808</v>
      </c>
      <c r="DV25" s="31">
        <v>2646651.13827</v>
      </c>
      <c r="DW25" s="31">
        <v>2660622.3375599999</v>
      </c>
      <c r="DX25" s="31">
        <v>2674704.8759599999</v>
      </c>
      <c r="DY25" s="31">
        <v>2688417.1126100002</v>
      </c>
      <c r="DZ25" s="31">
        <v>2702493.7592900004</v>
      </c>
    </row>
    <row r="26" spans="2:130" x14ac:dyDescent="0.3">
      <c r="B26" s="6"/>
      <c r="C26" s="7"/>
      <c r="D26" s="8"/>
      <c r="E26" s="8"/>
      <c r="F26" s="8"/>
      <c r="G26" s="8"/>
      <c r="H26" s="8"/>
      <c r="I26" s="8"/>
      <c r="J26" s="8"/>
      <c r="K26" s="8"/>
      <c r="L26" s="8"/>
      <c r="M26" s="8"/>
      <c r="N26" s="8"/>
      <c r="O26" s="8"/>
      <c r="P26" s="9"/>
      <c r="Q26" s="9"/>
      <c r="R26" s="9"/>
      <c r="S26" s="9"/>
      <c r="T26" s="9"/>
      <c r="U26" s="9"/>
      <c r="V26" s="9"/>
      <c r="W26" s="9"/>
      <c r="X26" s="9"/>
      <c r="Y26" s="9"/>
      <c r="Z26" s="9"/>
      <c r="AA26" s="9"/>
      <c r="AB26" s="7"/>
      <c r="AC26" s="7"/>
      <c r="AD26" s="7"/>
      <c r="AE26" s="7"/>
      <c r="AF26" s="7"/>
      <c r="AG26" s="7"/>
      <c r="AH26" s="7"/>
      <c r="AI26" s="7"/>
      <c r="AJ26" s="7"/>
      <c r="AK26" s="7"/>
      <c r="AL26" s="7"/>
      <c r="AM26" s="7"/>
    </row>
    <row r="27" spans="2:130" s="58" customFormat="1" x14ac:dyDescent="0.3">
      <c r="B27" s="70" t="s">
        <v>31</v>
      </c>
      <c r="C27" s="14"/>
      <c r="D27" s="14"/>
      <c r="E27" s="14"/>
      <c r="F27" s="14"/>
      <c r="G27" s="14"/>
      <c r="H27" s="14"/>
      <c r="I27" s="14"/>
      <c r="J27" s="14"/>
      <c r="K27" s="14"/>
      <c r="L27" s="14"/>
      <c r="M27" s="14"/>
      <c r="N27" s="14"/>
      <c r="O27" s="14"/>
      <c r="P27" s="15"/>
      <c r="Q27" s="15"/>
      <c r="R27" s="15"/>
      <c r="S27" s="15"/>
      <c r="T27" s="15"/>
      <c r="U27" s="15"/>
      <c r="V27" s="15"/>
      <c r="W27" s="15"/>
      <c r="X27" s="15"/>
      <c r="Y27" s="15"/>
      <c r="Z27" s="15"/>
      <c r="AA27" s="15"/>
      <c r="AB27" s="16"/>
      <c r="AC27" s="16"/>
      <c r="AD27" s="16"/>
      <c r="AE27" s="16"/>
      <c r="AF27" s="16"/>
      <c r="AG27" s="16"/>
      <c r="AH27" s="16"/>
      <c r="AI27" s="16"/>
      <c r="AJ27" s="16"/>
      <c r="AK27" s="14"/>
      <c r="AL27" s="14"/>
      <c r="AM27" s="14"/>
      <c r="AV27" s="24"/>
      <c r="AW27" s="24"/>
      <c r="AX27" s="24"/>
      <c r="AY27" s="24"/>
      <c r="AZ27" s="24"/>
      <c r="BA27" s="24"/>
      <c r="BB27" s="24"/>
      <c r="BC27" s="24"/>
      <c r="BD27" s="24"/>
      <c r="BE27" s="24"/>
      <c r="BF27" s="24"/>
      <c r="BG27" s="24"/>
      <c r="BH27" s="24"/>
      <c r="BI27" s="24"/>
      <c r="BJ27" s="24"/>
      <c r="BK27" s="24"/>
      <c r="BL27" s="24"/>
      <c r="BM27" s="24"/>
      <c r="BN27" s="24"/>
    </row>
    <row r="28" spans="2:130" s="58" customFormat="1" x14ac:dyDescent="0.3">
      <c r="B28" s="71" t="s">
        <v>40</v>
      </c>
      <c r="C28" s="14"/>
      <c r="D28" s="14"/>
      <c r="E28" s="14"/>
      <c r="F28" s="14"/>
      <c r="G28" s="14"/>
      <c r="H28" s="15"/>
      <c r="I28" s="15"/>
      <c r="J28" s="15"/>
      <c r="K28" s="15"/>
      <c r="L28" s="15"/>
      <c r="M28" s="15"/>
      <c r="N28" s="15"/>
      <c r="O28" s="15"/>
      <c r="P28" s="15"/>
      <c r="Q28" s="15"/>
      <c r="R28" s="15"/>
      <c r="S28" s="15"/>
      <c r="T28" s="15"/>
      <c r="U28" s="15"/>
      <c r="V28" s="15"/>
      <c r="W28" s="15"/>
      <c r="X28" s="15"/>
      <c r="Y28" s="15"/>
      <c r="Z28" s="15"/>
      <c r="AA28" s="15"/>
      <c r="AB28" s="14"/>
      <c r="AC28" s="14"/>
      <c r="AD28" s="14"/>
      <c r="AE28" s="14"/>
      <c r="AF28" s="14"/>
      <c r="AG28" s="14"/>
      <c r="AH28" s="14"/>
      <c r="AI28" s="14"/>
      <c r="AJ28" s="14"/>
      <c r="AK28" s="14"/>
      <c r="AL28" s="14"/>
      <c r="AM28" s="14"/>
      <c r="AX28" s="72"/>
      <c r="AY28" s="72"/>
      <c r="AZ28" s="72"/>
      <c r="BA28" s="72"/>
      <c r="BB28" s="72"/>
      <c r="BC28" s="72"/>
      <c r="BD28" s="72"/>
      <c r="BE28" s="72"/>
      <c r="BF28" s="72"/>
      <c r="BG28" s="72"/>
      <c r="BH28" s="72"/>
      <c r="BI28" s="72"/>
      <c r="BJ28" s="72"/>
      <c r="BK28" s="72"/>
      <c r="BL28" s="72"/>
      <c r="BM28" s="72"/>
      <c r="BN28" s="72"/>
    </row>
    <row r="29" spans="2:130" s="58" customFormat="1" x14ac:dyDescent="0.3">
      <c r="B29" s="71" t="s">
        <v>39</v>
      </c>
      <c r="C29" s="14"/>
      <c r="D29" s="14"/>
      <c r="E29" s="14"/>
      <c r="F29" s="14"/>
      <c r="G29" s="14"/>
      <c r="H29" s="15"/>
      <c r="I29" s="15"/>
      <c r="J29" s="15"/>
      <c r="K29" s="15"/>
      <c r="L29" s="15"/>
      <c r="M29" s="15"/>
      <c r="N29" s="15"/>
      <c r="O29" s="15"/>
      <c r="P29" s="15"/>
      <c r="Q29" s="15"/>
      <c r="R29" s="15"/>
      <c r="S29" s="15"/>
      <c r="T29" s="15"/>
      <c r="U29" s="15"/>
      <c r="V29" s="15"/>
      <c r="W29" s="15"/>
      <c r="X29" s="15"/>
      <c r="Y29" s="15"/>
      <c r="Z29" s="15"/>
      <c r="AA29" s="15"/>
      <c r="AB29" s="14"/>
      <c r="AC29" s="14"/>
      <c r="AD29" s="14"/>
      <c r="AE29" s="14"/>
      <c r="AF29" s="14"/>
      <c r="AG29" s="14"/>
      <c r="AH29" s="14"/>
      <c r="AI29" s="14"/>
      <c r="AJ29" s="14"/>
      <c r="AK29" s="14"/>
      <c r="AL29" s="14"/>
      <c r="AM29" s="14"/>
      <c r="AW29" s="24"/>
      <c r="AX29" s="24"/>
      <c r="AY29" s="24"/>
      <c r="AZ29" s="24"/>
      <c r="BA29" s="24"/>
      <c r="BB29" s="24"/>
      <c r="BC29" s="24"/>
      <c r="BD29" s="24"/>
    </row>
    <row r="30" spans="2:130" s="58" customFormat="1" ht="15" customHeight="1" x14ac:dyDescent="0.3">
      <c r="B30" s="103" t="s">
        <v>35</v>
      </c>
      <c r="C30" s="103"/>
      <c r="D30" s="103"/>
      <c r="E30" s="103"/>
      <c r="F30" s="103"/>
      <c r="G30" s="103"/>
      <c r="H30" s="103"/>
      <c r="I30" s="103"/>
      <c r="J30" s="103"/>
      <c r="K30" s="103"/>
      <c r="L30" s="103"/>
      <c r="M30" s="103"/>
      <c r="N30" s="103"/>
      <c r="O30" s="103"/>
      <c r="P30" s="103"/>
      <c r="Q30" s="103"/>
      <c r="R30" s="103"/>
      <c r="S30" s="103"/>
      <c r="T30" s="103"/>
      <c r="U30" s="103"/>
      <c r="V30" s="103"/>
      <c r="W30" s="103"/>
      <c r="X30" s="103"/>
      <c r="Y30" s="103"/>
      <c r="Z30" s="15"/>
      <c r="AA30" s="15"/>
      <c r="AB30" s="14"/>
      <c r="AC30" s="14"/>
      <c r="AD30" s="14"/>
      <c r="AE30" s="14"/>
      <c r="AF30" s="14"/>
      <c r="AG30" s="14"/>
      <c r="AH30" s="14"/>
      <c r="AI30" s="14"/>
      <c r="AJ30" s="14"/>
      <c r="AK30" s="14"/>
      <c r="AL30" s="14"/>
      <c r="AM30" s="14"/>
    </row>
    <row r="31" spans="2:130" s="58" customFormat="1" ht="15" customHeight="1" x14ac:dyDescent="0.3">
      <c r="B31" s="73" t="s">
        <v>59</v>
      </c>
      <c r="C31" s="74"/>
      <c r="D31" s="74"/>
      <c r="E31" s="74"/>
      <c r="F31" s="74"/>
      <c r="G31" s="74"/>
      <c r="H31" s="74"/>
      <c r="I31" s="74"/>
      <c r="J31" s="74"/>
      <c r="K31" s="74"/>
      <c r="L31" s="74"/>
      <c r="M31" s="74"/>
      <c r="N31" s="74"/>
      <c r="O31" s="74"/>
      <c r="P31" s="74"/>
      <c r="Q31" s="74"/>
      <c r="R31" s="74"/>
      <c r="S31" s="74"/>
      <c r="T31" s="74"/>
      <c r="U31" s="74"/>
      <c r="V31" s="74"/>
      <c r="W31" s="74"/>
      <c r="X31" s="74"/>
      <c r="Y31" s="74"/>
      <c r="Z31" s="15"/>
      <c r="AA31" s="15"/>
      <c r="AB31" s="14"/>
      <c r="AC31" s="14"/>
      <c r="AD31" s="14"/>
      <c r="AE31" s="14"/>
      <c r="AF31" s="14"/>
      <c r="AG31" s="14"/>
      <c r="AH31" s="14"/>
      <c r="AI31" s="14"/>
      <c r="AJ31" s="14"/>
      <c r="AK31" s="14"/>
      <c r="AL31" s="14"/>
      <c r="AM31" s="14"/>
    </row>
    <row r="32" spans="2:130" s="58" customFormat="1" ht="15" customHeight="1" x14ac:dyDescent="0.3">
      <c r="B32" s="73" t="s">
        <v>65</v>
      </c>
      <c r="C32" s="74"/>
      <c r="D32" s="74"/>
      <c r="E32" s="74"/>
      <c r="F32" s="74"/>
      <c r="G32" s="74"/>
      <c r="H32" s="74"/>
      <c r="I32" s="74"/>
      <c r="J32" s="74"/>
      <c r="K32" s="74"/>
      <c r="L32" s="74"/>
      <c r="M32" s="74"/>
      <c r="N32" s="74"/>
      <c r="O32" s="74"/>
      <c r="P32" s="74"/>
      <c r="Q32" s="74"/>
      <c r="R32" s="74"/>
      <c r="S32" s="74"/>
      <c r="T32" s="74"/>
      <c r="U32" s="74"/>
      <c r="V32" s="74"/>
      <c r="W32" s="74"/>
      <c r="X32" s="74"/>
      <c r="Y32" s="74"/>
      <c r="Z32" s="15"/>
      <c r="AA32" s="15"/>
      <c r="AB32" s="14"/>
      <c r="AC32" s="14"/>
      <c r="AD32" s="14"/>
      <c r="AE32" s="14"/>
      <c r="AF32" s="14"/>
      <c r="AG32" s="14"/>
      <c r="AH32" s="14"/>
      <c r="AI32" s="14"/>
      <c r="AJ32" s="14"/>
      <c r="AK32" s="14"/>
      <c r="AL32" s="14"/>
      <c r="AM32" s="14"/>
    </row>
    <row r="33" spans="2:50" x14ac:dyDescent="0.3">
      <c r="B33" s="73" t="s">
        <v>66</v>
      </c>
      <c r="C33" s="7"/>
      <c r="D33" s="7"/>
      <c r="E33" s="7"/>
      <c r="F33" s="7"/>
      <c r="G33" s="7"/>
      <c r="H33" s="10"/>
      <c r="I33" s="10"/>
      <c r="J33" s="10"/>
      <c r="K33" s="10"/>
      <c r="L33" s="10"/>
      <c r="M33" s="10"/>
      <c r="N33" s="10"/>
      <c r="O33" s="10"/>
      <c r="P33" s="10"/>
      <c r="Q33" s="10"/>
      <c r="R33" s="10"/>
      <c r="S33" s="10"/>
      <c r="T33" s="10"/>
      <c r="U33" s="10"/>
      <c r="V33" s="10"/>
      <c r="W33" s="10"/>
      <c r="X33" s="10"/>
      <c r="Y33" s="10"/>
      <c r="Z33" s="10"/>
      <c r="AA33" s="10"/>
      <c r="AB33" s="7"/>
      <c r="AC33" s="7"/>
      <c r="AD33" s="7"/>
      <c r="AE33" s="7"/>
      <c r="AF33" s="7"/>
      <c r="AG33" s="7"/>
      <c r="AH33" s="7"/>
      <c r="AI33" s="7"/>
      <c r="AJ33" s="7"/>
      <c r="AK33" s="7"/>
      <c r="AL33" s="7"/>
      <c r="AM33" s="7"/>
    </row>
    <row r="34" spans="2:50" x14ac:dyDescent="0.3">
      <c r="B34" s="73" t="s">
        <v>72</v>
      </c>
      <c r="C34" s="7"/>
      <c r="D34" s="7"/>
      <c r="E34" s="7"/>
      <c r="F34" s="7"/>
      <c r="G34" s="7"/>
      <c r="H34" s="10"/>
      <c r="I34" s="10"/>
      <c r="J34" s="10"/>
      <c r="K34" s="10"/>
      <c r="L34" s="10"/>
      <c r="M34" s="10"/>
      <c r="N34" s="10"/>
      <c r="O34" s="10"/>
      <c r="P34" s="10"/>
      <c r="Q34" s="10"/>
      <c r="R34" s="10"/>
      <c r="S34" s="10"/>
      <c r="T34" s="10"/>
      <c r="U34" s="10"/>
      <c r="V34" s="10"/>
      <c r="W34" s="10"/>
      <c r="X34" s="10"/>
      <c r="Y34" s="10"/>
      <c r="Z34" s="10"/>
      <c r="AA34" s="10"/>
      <c r="AB34" s="7"/>
      <c r="AC34" s="7"/>
      <c r="AD34" s="7"/>
      <c r="AE34" s="7"/>
      <c r="AF34" s="7"/>
      <c r="AG34" s="7"/>
      <c r="AH34" s="7"/>
      <c r="AI34" s="7"/>
      <c r="AJ34" s="7"/>
      <c r="AK34" s="7"/>
      <c r="AL34" s="7"/>
      <c r="AM34" s="7"/>
    </row>
    <row r="35" spans="2:50" x14ac:dyDescent="0.3">
      <c r="B35" s="73" t="s">
        <v>68</v>
      </c>
      <c r="C35" s="7"/>
      <c r="D35" s="7"/>
      <c r="E35" s="7"/>
      <c r="F35" s="7"/>
      <c r="G35" s="7"/>
      <c r="H35" s="10"/>
      <c r="I35" s="10"/>
      <c r="J35" s="10"/>
      <c r="K35" s="10"/>
      <c r="L35" s="10"/>
      <c r="M35" s="10"/>
      <c r="N35" s="10"/>
      <c r="O35" s="10"/>
      <c r="P35" s="10"/>
      <c r="Q35" s="10"/>
      <c r="R35" s="10"/>
      <c r="S35" s="10"/>
      <c r="T35" s="10"/>
      <c r="U35" s="10"/>
      <c r="V35" s="10"/>
      <c r="W35" s="10"/>
      <c r="X35" s="10"/>
      <c r="Y35" s="10"/>
      <c r="Z35" s="10"/>
      <c r="AA35" s="10"/>
      <c r="AB35" s="7"/>
      <c r="AC35" s="7"/>
      <c r="AD35" s="7"/>
      <c r="AE35" s="7"/>
      <c r="AF35" s="7"/>
      <c r="AG35" s="7"/>
      <c r="AH35" s="7"/>
      <c r="AI35" s="7"/>
      <c r="AJ35" s="7"/>
      <c r="AK35" s="7"/>
      <c r="AL35" s="7"/>
      <c r="AM35" s="7"/>
    </row>
    <row r="36" spans="2:50" x14ac:dyDescent="0.3">
      <c r="B36" s="73" t="s">
        <v>69</v>
      </c>
      <c r="C36" s="7"/>
      <c r="D36" s="7"/>
      <c r="E36" s="7"/>
      <c r="F36" s="7"/>
      <c r="G36" s="7"/>
      <c r="H36" s="10"/>
      <c r="I36" s="10"/>
      <c r="J36" s="10"/>
      <c r="K36" s="10"/>
      <c r="L36" s="10"/>
      <c r="M36" s="10"/>
      <c r="N36" s="10"/>
      <c r="O36" s="10"/>
      <c r="P36" s="10"/>
      <c r="Q36" s="10"/>
      <c r="R36" s="10"/>
      <c r="S36" s="10"/>
      <c r="T36" s="10"/>
      <c r="U36" s="10"/>
      <c r="V36" s="10"/>
      <c r="W36" s="10"/>
      <c r="X36" s="10"/>
      <c r="Y36" s="10"/>
      <c r="Z36" s="10"/>
      <c r="AA36" s="10"/>
      <c r="AB36" s="7"/>
      <c r="AC36" s="7"/>
      <c r="AD36" s="7"/>
      <c r="AE36" s="7"/>
      <c r="AF36" s="7"/>
      <c r="AG36" s="7"/>
      <c r="AH36" s="7"/>
      <c r="AI36" s="7"/>
      <c r="AJ36" s="7"/>
      <c r="AK36" s="7"/>
      <c r="AL36" s="7"/>
      <c r="AM36" s="7"/>
    </row>
    <row r="37" spans="2:50" ht="25.5" customHeight="1" x14ac:dyDescent="0.3">
      <c r="B37" s="103" t="s">
        <v>81</v>
      </c>
      <c r="C37" s="103"/>
      <c r="D37" s="103"/>
      <c r="E37" s="103"/>
      <c r="F37" s="103"/>
      <c r="G37" s="103"/>
      <c r="H37" s="103"/>
      <c r="I37" s="103"/>
      <c r="J37" s="103"/>
      <c r="K37" s="103"/>
      <c r="L37" s="103"/>
      <c r="M37" s="103"/>
      <c r="N37" s="103"/>
      <c r="O37" s="10"/>
      <c r="P37" s="10"/>
      <c r="Q37" s="10"/>
      <c r="R37" s="10"/>
      <c r="S37" s="10"/>
      <c r="T37" s="10"/>
      <c r="U37" s="10"/>
      <c r="V37" s="10"/>
      <c r="W37" s="10"/>
      <c r="X37" s="10"/>
      <c r="Y37" s="10"/>
      <c r="Z37" s="10"/>
      <c r="AA37" s="10"/>
      <c r="AB37" s="7"/>
      <c r="AC37" s="7"/>
      <c r="AD37" s="7"/>
      <c r="AE37" s="7"/>
      <c r="AF37" s="7"/>
      <c r="AG37" s="7"/>
      <c r="AH37" s="7"/>
      <c r="AI37" s="7"/>
      <c r="AJ37" s="7"/>
      <c r="AK37" s="7"/>
      <c r="AL37" s="7"/>
      <c r="AM37" s="7"/>
    </row>
    <row r="38" spans="2:50" x14ac:dyDescent="0.3">
      <c r="B38" s="103" t="s">
        <v>89</v>
      </c>
      <c r="C38" s="103"/>
      <c r="D38" s="103"/>
      <c r="E38" s="103"/>
      <c r="F38" s="103"/>
      <c r="G38" s="103"/>
      <c r="H38" s="103"/>
      <c r="I38" s="103"/>
      <c r="J38" s="103"/>
      <c r="K38" s="103"/>
      <c r="L38" s="103"/>
      <c r="M38" s="103"/>
      <c r="N38" s="103"/>
      <c r="O38" s="10"/>
      <c r="P38" s="10"/>
      <c r="Q38" s="10"/>
      <c r="R38" s="10"/>
      <c r="S38" s="10"/>
      <c r="T38" s="10"/>
      <c r="U38" s="10"/>
      <c r="V38" s="10"/>
      <c r="W38" s="10"/>
      <c r="X38" s="10"/>
      <c r="Y38" s="10"/>
      <c r="Z38" s="10"/>
      <c r="AA38" s="10"/>
      <c r="AB38" s="7"/>
      <c r="AC38" s="7"/>
      <c r="AD38" s="7"/>
      <c r="AE38" s="7"/>
      <c r="AF38" s="7"/>
      <c r="AG38" s="7"/>
      <c r="AH38" s="7"/>
      <c r="AI38" s="7"/>
      <c r="AJ38" s="7"/>
      <c r="AK38" s="7"/>
      <c r="AL38" s="7"/>
      <c r="AM38" s="7"/>
    </row>
    <row r="39" spans="2:50" s="17" customFormat="1" ht="27.75" customHeight="1" x14ac:dyDescent="0.3">
      <c r="B39" s="103" t="s">
        <v>94</v>
      </c>
      <c r="C39" s="103"/>
      <c r="D39" s="103"/>
      <c r="E39" s="103"/>
      <c r="F39" s="103"/>
      <c r="G39" s="103"/>
      <c r="H39" s="103"/>
      <c r="I39" s="103"/>
      <c r="J39" s="103"/>
      <c r="K39" s="103"/>
      <c r="L39" s="103"/>
      <c r="M39" s="103"/>
      <c r="N39" s="103"/>
      <c r="O39" s="103"/>
      <c r="P39" s="103"/>
      <c r="Q39" s="18">
        <f>+Q11-(Q12+Q13+Q14)</f>
        <v>0</v>
      </c>
      <c r="R39" s="18">
        <f t="shared" ref="R39:AA39" si="2">+R11-(R12+R13+R14)</f>
        <v>0</v>
      </c>
      <c r="S39" s="18">
        <f t="shared" si="2"/>
        <v>0</v>
      </c>
      <c r="T39" s="18">
        <f t="shared" si="2"/>
        <v>0</v>
      </c>
      <c r="U39" s="18">
        <f t="shared" si="2"/>
        <v>0</v>
      </c>
      <c r="V39" s="18">
        <f t="shared" si="2"/>
        <v>0</v>
      </c>
      <c r="W39" s="18">
        <f t="shared" si="2"/>
        <v>0</v>
      </c>
      <c r="X39" s="18">
        <f>+X11-(X12+X13+X14)</f>
        <v>0</v>
      </c>
      <c r="Y39" s="18">
        <f t="shared" si="2"/>
        <v>0</v>
      </c>
      <c r="Z39" s="18">
        <f t="shared" si="2"/>
        <v>0</v>
      </c>
      <c r="AA39" s="18">
        <f t="shared" si="2"/>
        <v>0</v>
      </c>
      <c r="AB39" s="18">
        <f t="shared" ref="AB39:AO39" si="3">+AB11-(AB12+AB13+AB14)</f>
        <v>0</v>
      </c>
      <c r="AC39" s="18">
        <f t="shared" si="3"/>
        <v>0</v>
      </c>
      <c r="AD39" s="18">
        <f t="shared" si="3"/>
        <v>0</v>
      </c>
      <c r="AE39" s="18">
        <f t="shared" si="3"/>
        <v>0</v>
      </c>
      <c r="AF39" s="18">
        <f t="shared" si="3"/>
        <v>0</v>
      </c>
      <c r="AG39" s="18">
        <f t="shared" si="3"/>
        <v>0</v>
      </c>
      <c r="AH39" s="18">
        <f t="shared" si="3"/>
        <v>0</v>
      </c>
      <c r="AI39" s="18">
        <f t="shared" si="3"/>
        <v>0</v>
      </c>
      <c r="AJ39" s="18">
        <f t="shared" si="3"/>
        <v>0</v>
      </c>
      <c r="AK39" s="18">
        <f t="shared" si="3"/>
        <v>0</v>
      </c>
      <c r="AL39" s="18">
        <f t="shared" si="3"/>
        <v>0</v>
      </c>
      <c r="AM39" s="18">
        <f t="shared" si="3"/>
        <v>0</v>
      </c>
      <c r="AN39" s="18">
        <f t="shared" si="3"/>
        <v>0</v>
      </c>
      <c r="AO39" s="18">
        <f t="shared" si="3"/>
        <v>0</v>
      </c>
      <c r="AP39" s="18"/>
      <c r="AQ39" s="18"/>
      <c r="AR39" s="18"/>
      <c r="AS39" s="18"/>
      <c r="AT39" s="18"/>
      <c r="AU39" s="18"/>
      <c r="AV39" s="18"/>
      <c r="AW39" s="18"/>
      <c r="AX39" s="18"/>
    </row>
    <row r="40" spans="2:50" s="17" customFormat="1" ht="27" customHeight="1" x14ac:dyDescent="0.3">
      <c r="B40" s="100" t="s">
        <v>101</v>
      </c>
      <c r="C40" s="100"/>
      <c r="D40" s="100"/>
      <c r="E40" s="100"/>
      <c r="F40" s="100"/>
      <c r="G40" s="100"/>
      <c r="H40" s="100"/>
      <c r="I40" s="100"/>
      <c r="J40" s="100"/>
      <c r="K40" s="100"/>
      <c r="L40" s="100"/>
      <c r="M40" s="100"/>
      <c r="N40" s="100"/>
      <c r="O40" s="100"/>
      <c r="P40" s="100"/>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row>
    <row r="41" spans="2:50" s="17" customFormat="1" ht="44.25" customHeight="1" x14ac:dyDescent="0.3">
      <c r="B41" s="100" t="s">
        <v>103</v>
      </c>
      <c r="C41" s="100"/>
      <c r="D41" s="100"/>
      <c r="E41" s="100"/>
      <c r="F41" s="100"/>
      <c r="G41" s="100"/>
      <c r="H41" s="100"/>
      <c r="I41" s="100"/>
      <c r="J41" s="100"/>
      <c r="K41" s="100"/>
      <c r="L41" s="100"/>
      <c r="M41" s="100"/>
      <c r="N41" s="100"/>
      <c r="O41" s="100"/>
      <c r="P41" s="100"/>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row>
    <row r="42" spans="2:50" s="17" customFormat="1" ht="29.25" customHeight="1" x14ac:dyDescent="0.3">
      <c r="B42" s="100" t="s">
        <v>109</v>
      </c>
      <c r="C42" s="100"/>
      <c r="D42" s="100"/>
      <c r="E42" s="100"/>
      <c r="F42" s="100"/>
      <c r="G42" s="100"/>
      <c r="H42" s="100"/>
      <c r="I42" s="100"/>
      <c r="J42" s="100"/>
      <c r="K42" s="100"/>
      <c r="L42" s="100"/>
      <c r="M42" s="100"/>
      <c r="N42" s="100"/>
      <c r="O42" s="100"/>
      <c r="P42" s="100"/>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row>
    <row r="43" spans="2:50" s="17" customFormat="1" ht="29.25" customHeight="1" x14ac:dyDescent="0.3">
      <c r="B43" s="103" t="s">
        <v>114</v>
      </c>
      <c r="C43" s="103"/>
      <c r="D43" s="103"/>
      <c r="E43" s="103"/>
      <c r="F43" s="103"/>
      <c r="G43" s="103"/>
      <c r="H43" s="103"/>
      <c r="I43" s="103"/>
      <c r="J43" s="103"/>
      <c r="K43" s="103"/>
      <c r="L43" s="103"/>
      <c r="M43" s="103"/>
      <c r="N43" s="103"/>
      <c r="O43" s="103"/>
      <c r="P43" s="103"/>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row>
    <row r="44" spans="2:50" s="17" customFormat="1" x14ac:dyDescent="0.3">
      <c r="B44" s="75" t="s">
        <v>117</v>
      </c>
      <c r="D44" s="18">
        <f t="shared" ref="D44:AA44" si="4">+D18-(D19+D20)</f>
        <v>0</v>
      </c>
      <c r="E44" s="18">
        <f t="shared" si="4"/>
        <v>0</v>
      </c>
      <c r="F44" s="18">
        <f t="shared" si="4"/>
        <v>0</v>
      </c>
      <c r="G44" s="18">
        <f t="shared" si="4"/>
        <v>0</v>
      </c>
      <c r="H44" s="18">
        <f t="shared" si="4"/>
        <v>0</v>
      </c>
      <c r="I44" s="18">
        <f t="shared" si="4"/>
        <v>0</v>
      </c>
      <c r="J44" s="18">
        <f t="shared" si="4"/>
        <v>0</v>
      </c>
      <c r="K44" s="18">
        <f t="shared" si="4"/>
        <v>0</v>
      </c>
      <c r="L44" s="18">
        <f t="shared" si="4"/>
        <v>0</v>
      </c>
      <c r="M44" s="18">
        <f t="shared" si="4"/>
        <v>0</v>
      </c>
      <c r="N44" s="18">
        <f t="shared" si="4"/>
        <v>0</v>
      </c>
      <c r="O44" s="18">
        <f t="shared" si="4"/>
        <v>0</v>
      </c>
      <c r="P44" s="18">
        <f t="shared" si="4"/>
        <v>0</v>
      </c>
      <c r="Q44" s="18">
        <f t="shared" si="4"/>
        <v>0</v>
      </c>
      <c r="R44" s="18">
        <f t="shared" si="4"/>
        <v>0</v>
      </c>
      <c r="S44" s="18">
        <f t="shared" si="4"/>
        <v>0</v>
      </c>
      <c r="T44" s="18">
        <f t="shared" si="4"/>
        <v>0</v>
      </c>
      <c r="U44" s="18">
        <f t="shared" si="4"/>
        <v>0</v>
      </c>
      <c r="V44" s="18">
        <f t="shared" si="4"/>
        <v>0</v>
      </c>
      <c r="W44" s="18">
        <f t="shared" si="4"/>
        <v>0</v>
      </c>
      <c r="X44" s="18">
        <f t="shared" si="4"/>
        <v>0</v>
      </c>
      <c r="Y44" s="18">
        <f t="shared" si="4"/>
        <v>0</v>
      </c>
      <c r="Z44" s="18">
        <f t="shared" si="4"/>
        <v>0</v>
      </c>
      <c r="AA44" s="18">
        <f t="shared" si="4"/>
        <v>0</v>
      </c>
      <c r="AB44" s="18">
        <f t="shared" ref="AB44:AO44" si="5">+AB18-(AB19+AB20)</f>
        <v>0</v>
      </c>
      <c r="AC44" s="18">
        <f t="shared" si="5"/>
        <v>0</v>
      </c>
      <c r="AD44" s="18">
        <f t="shared" si="5"/>
        <v>0</v>
      </c>
      <c r="AE44" s="18">
        <f t="shared" si="5"/>
        <v>0</v>
      </c>
      <c r="AF44" s="18">
        <f t="shared" si="5"/>
        <v>0</v>
      </c>
      <c r="AG44" s="18">
        <f t="shared" si="5"/>
        <v>0</v>
      </c>
      <c r="AH44" s="18">
        <f t="shared" si="5"/>
        <v>0</v>
      </c>
      <c r="AI44" s="18">
        <f t="shared" si="5"/>
        <v>0</v>
      </c>
      <c r="AJ44" s="18">
        <f t="shared" si="5"/>
        <v>0</v>
      </c>
      <c r="AK44" s="18">
        <f t="shared" si="5"/>
        <v>0</v>
      </c>
      <c r="AL44" s="18">
        <f t="shared" si="5"/>
        <v>0</v>
      </c>
      <c r="AM44" s="18">
        <f t="shared" si="5"/>
        <v>0</v>
      </c>
      <c r="AN44" s="18">
        <f t="shared" si="5"/>
        <v>0</v>
      </c>
      <c r="AO44" s="18">
        <f t="shared" si="5"/>
        <v>0</v>
      </c>
      <c r="AP44" s="18"/>
      <c r="AQ44" s="18"/>
      <c r="AR44" s="18"/>
      <c r="AS44" s="18"/>
      <c r="AT44" s="18"/>
      <c r="AU44" s="18"/>
      <c r="AV44" s="18"/>
      <c r="AW44" s="18"/>
      <c r="AX44" s="18"/>
    </row>
    <row r="45" spans="2:50" s="17" customFormat="1" x14ac:dyDescent="0.3">
      <c r="D45" s="18">
        <f>+(D11-(D18+D23))</f>
        <v>-1.1641532182693481E-10</v>
      </c>
      <c r="E45" s="18">
        <f t="shared" ref="E45:AA45" si="6">+(E11-(E18+E23))</f>
        <v>-1.1641532182693481E-10</v>
      </c>
      <c r="F45" s="18">
        <f t="shared" si="6"/>
        <v>0</v>
      </c>
      <c r="G45" s="19">
        <f>+(G11-(G18+G23))</f>
        <v>0</v>
      </c>
      <c r="H45" s="18">
        <f t="shared" si="6"/>
        <v>0</v>
      </c>
      <c r="I45" s="18">
        <f t="shared" si="6"/>
        <v>0</v>
      </c>
      <c r="J45" s="18">
        <f t="shared" si="6"/>
        <v>0</v>
      </c>
      <c r="K45" s="18">
        <f t="shared" si="6"/>
        <v>0</v>
      </c>
      <c r="L45" s="18">
        <f t="shared" si="6"/>
        <v>1.1641532182693481E-10</v>
      </c>
      <c r="M45" s="18">
        <f t="shared" si="6"/>
        <v>0</v>
      </c>
      <c r="N45" s="18">
        <f t="shared" si="6"/>
        <v>-1.1641532182693481E-10</v>
      </c>
      <c r="O45" s="18">
        <f t="shared" si="6"/>
        <v>-1.1641532182693481E-10</v>
      </c>
      <c r="P45" s="18">
        <f t="shared" si="6"/>
        <v>-1.1641532182693481E-10</v>
      </c>
      <c r="Q45" s="18">
        <f t="shared" si="6"/>
        <v>1.1641532182693481E-10</v>
      </c>
      <c r="R45" s="18">
        <f t="shared" si="6"/>
        <v>0</v>
      </c>
      <c r="S45" s="18">
        <f t="shared" si="6"/>
        <v>0</v>
      </c>
      <c r="T45" s="18">
        <f t="shared" si="6"/>
        <v>1.1641532182693481E-10</v>
      </c>
      <c r="U45" s="18">
        <f t="shared" si="6"/>
        <v>-1.1641532182693481E-10</v>
      </c>
      <c r="V45" s="18">
        <f t="shared" si="6"/>
        <v>-1.1641532182693481E-10</v>
      </c>
      <c r="W45" s="18">
        <f t="shared" si="6"/>
        <v>0</v>
      </c>
      <c r="X45" s="18">
        <f t="shared" si="6"/>
        <v>0</v>
      </c>
      <c r="Y45" s="18">
        <f t="shared" si="6"/>
        <v>0</v>
      </c>
      <c r="Z45" s="18">
        <f t="shared" si="6"/>
        <v>0</v>
      </c>
      <c r="AA45" s="18">
        <f t="shared" si="6"/>
        <v>0</v>
      </c>
      <c r="AB45" s="18">
        <f t="shared" ref="AB45:AO45" si="7">+(AB11-(AB18+AB23))</f>
        <v>0</v>
      </c>
      <c r="AC45" s="18">
        <f t="shared" si="7"/>
        <v>1.1641532182693481E-10</v>
      </c>
      <c r="AD45" s="18">
        <f t="shared" si="7"/>
        <v>-1.1641532182693481E-10</v>
      </c>
      <c r="AE45" s="18">
        <f t="shared" si="7"/>
        <v>0</v>
      </c>
      <c r="AF45" s="18">
        <f t="shared" si="7"/>
        <v>0</v>
      </c>
      <c r="AG45" s="18">
        <f t="shared" si="7"/>
        <v>0</v>
      </c>
      <c r="AH45" s="18">
        <f t="shared" si="7"/>
        <v>0</v>
      </c>
      <c r="AI45" s="18">
        <f t="shared" si="7"/>
        <v>1.1641532182693481E-10</v>
      </c>
      <c r="AJ45" s="18">
        <f t="shared" si="7"/>
        <v>0</v>
      </c>
      <c r="AK45" s="18">
        <f t="shared" si="7"/>
        <v>0</v>
      </c>
      <c r="AL45" s="18">
        <f t="shared" si="7"/>
        <v>2.3283064365386963E-10</v>
      </c>
      <c r="AM45" s="18">
        <f t="shared" si="7"/>
        <v>0</v>
      </c>
      <c r="AN45" s="18">
        <f t="shared" si="7"/>
        <v>0</v>
      </c>
      <c r="AO45" s="18">
        <f t="shared" si="7"/>
        <v>0</v>
      </c>
      <c r="AP45" s="18"/>
      <c r="AQ45" s="18"/>
      <c r="AR45" s="18"/>
      <c r="AS45" s="18"/>
      <c r="AT45" s="18"/>
      <c r="AU45" s="18"/>
      <c r="AV45" s="18"/>
      <c r="AW45" s="18"/>
      <c r="AX45" s="18"/>
    </row>
    <row r="46" spans="2:50" s="17" customFormat="1" x14ac:dyDescent="0.3">
      <c r="D46" s="18">
        <f t="shared" ref="D46:AA46" si="8">(D23+D18)-D11</f>
        <v>0</v>
      </c>
      <c r="E46" s="18">
        <f t="shared" si="8"/>
        <v>0</v>
      </c>
      <c r="F46" s="18">
        <f t="shared" si="8"/>
        <v>0</v>
      </c>
      <c r="G46" s="18">
        <f t="shared" si="8"/>
        <v>0</v>
      </c>
      <c r="H46" s="18">
        <f t="shared" si="8"/>
        <v>0</v>
      </c>
      <c r="I46" s="18">
        <f t="shared" si="8"/>
        <v>0</v>
      </c>
      <c r="J46" s="18">
        <f t="shared" si="8"/>
        <v>0</v>
      </c>
      <c r="K46" s="18">
        <f t="shared" si="8"/>
        <v>0</v>
      </c>
      <c r="L46" s="18">
        <f t="shared" si="8"/>
        <v>0</v>
      </c>
      <c r="M46" s="18">
        <f t="shared" si="8"/>
        <v>0</v>
      </c>
      <c r="N46" s="18">
        <f t="shared" si="8"/>
        <v>0</v>
      </c>
      <c r="O46" s="18">
        <f t="shared" si="8"/>
        <v>0</v>
      </c>
      <c r="P46" s="18">
        <f t="shared" si="8"/>
        <v>0</v>
      </c>
      <c r="Q46" s="18">
        <f t="shared" si="8"/>
        <v>0</v>
      </c>
      <c r="R46" s="18">
        <f t="shared" si="8"/>
        <v>0</v>
      </c>
      <c r="S46" s="18">
        <f t="shared" si="8"/>
        <v>0</v>
      </c>
      <c r="T46" s="18">
        <f t="shared" si="8"/>
        <v>0</v>
      </c>
      <c r="U46" s="18">
        <f t="shared" si="8"/>
        <v>0</v>
      </c>
      <c r="V46" s="18">
        <f t="shared" si="8"/>
        <v>0</v>
      </c>
      <c r="W46" s="18">
        <f t="shared" si="8"/>
        <v>0</v>
      </c>
      <c r="X46" s="18">
        <f t="shared" si="8"/>
        <v>0</v>
      </c>
      <c r="Y46" s="18">
        <f t="shared" si="8"/>
        <v>0</v>
      </c>
      <c r="Z46" s="18">
        <f t="shared" si="8"/>
        <v>0</v>
      </c>
      <c r="AA46" s="18">
        <f t="shared" si="8"/>
        <v>0</v>
      </c>
      <c r="AB46" s="18">
        <f t="shared" ref="AB46:AO46" si="9">(AB23+AB18)-AB11</f>
        <v>0</v>
      </c>
      <c r="AC46" s="18">
        <f t="shared" si="9"/>
        <v>0</v>
      </c>
      <c r="AD46" s="18">
        <f t="shared" si="9"/>
        <v>0</v>
      </c>
      <c r="AE46" s="18">
        <f t="shared" si="9"/>
        <v>0</v>
      </c>
      <c r="AF46" s="18">
        <f t="shared" si="9"/>
        <v>0</v>
      </c>
      <c r="AG46" s="18">
        <f t="shared" si="9"/>
        <v>0</v>
      </c>
      <c r="AH46" s="18">
        <f t="shared" si="9"/>
        <v>0</v>
      </c>
      <c r="AI46" s="18">
        <f t="shared" si="9"/>
        <v>0</v>
      </c>
      <c r="AJ46" s="18">
        <f t="shared" si="9"/>
        <v>0</v>
      </c>
      <c r="AK46" s="18">
        <f t="shared" si="9"/>
        <v>0</v>
      </c>
      <c r="AL46" s="18">
        <f t="shared" si="9"/>
        <v>0</v>
      </c>
      <c r="AM46" s="18">
        <f t="shared" si="9"/>
        <v>0</v>
      </c>
      <c r="AN46" s="18">
        <f t="shared" si="9"/>
        <v>0</v>
      </c>
      <c r="AO46" s="18">
        <f t="shared" si="9"/>
        <v>0</v>
      </c>
      <c r="AP46" s="18"/>
      <c r="AQ46" s="18"/>
      <c r="AR46" s="18"/>
      <c r="AS46" s="18"/>
      <c r="AT46" s="18"/>
      <c r="AU46" s="18"/>
      <c r="AV46" s="18"/>
      <c r="AW46" s="18"/>
      <c r="AX46" s="18"/>
    </row>
    <row r="47" spans="2:50" s="17" customFormat="1" x14ac:dyDescent="0.3">
      <c r="B47" s="20"/>
      <c r="C47" s="21"/>
      <c r="D47" s="21"/>
      <c r="E47" s="21"/>
      <c r="F47" s="21"/>
      <c r="G47" s="21"/>
      <c r="H47" s="21"/>
      <c r="I47" s="21"/>
      <c r="J47" s="21"/>
      <c r="K47" s="21"/>
      <c r="L47" s="21"/>
      <c r="M47" s="21"/>
      <c r="N47" s="21"/>
      <c r="O47" s="21"/>
      <c r="P47" s="22"/>
      <c r="Q47" s="22"/>
      <c r="R47" s="22"/>
      <c r="S47" s="22"/>
      <c r="T47" s="22"/>
      <c r="U47" s="22"/>
      <c r="V47" s="22"/>
      <c r="W47" s="22"/>
      <c r="X47" s="22"/>
      <c r="Y47" s="22"/>
      <c r="Z47" s="22"/>
      <c r="AA47" s="22"/>
      <c r="AB47" s="21"/>
      <c r="AC47" s="21"/>
      <c r="AD47" s="21"/>
      <c r="AE47" s="21"/>
      <c r="AF47" s="21"/>
      <c r="AG47" s="21"/>
      <c r="AH47" s="21"/>
      <c r="AI47" s="21"/>
      <c r="AJ47" s="21"/>
      <c r="AK47" s="21"/>
      <c r="AL47" s="21"/>
      <c r="AM47" s="21"/>
    </row>
    <row r="62" spans="4:50" x14ac:dyDescent="0.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row>
    <row r="63" spans="4:50" x14ac:dyDescent="0.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row>
    <row r="64" spans="4:50" x14ac:dyDescent="0.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row>
    <row r="65" spans="4:50" x14ac:dyDescent="0.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row>
    <row r="66" spans="4:50" x14ac:dyDescent="0.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row>
    <row r="67" spans="4:50" x14ac:dyDescent="0.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row>
    <row r="68" spans="4:50" x14ac:dyDescent="0.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row>
    <row r="69" spans="4:50" x14ac:dyDescent="0.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row>
    <row r="70" spans="4:50" x14ac:dyDescent="0.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row>
    <row r="71" spans="4:50" x14ac:dyDescent="0.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row>
  </sheetData>
  <mergeCells count="22">
    <mergeCell ref="DT9:DZ9"/>
    <mergeCell ref="DH9:DS9"/>
    <mergeCell ref="B43:P43"/>
    <mergeCell ref="B37:N37"/>
    <mergeCell ref="B41:P41"/>
    <mergeCell ref="B40:P40"/>
    <mergeCell ref="CV9:DG9"/>
    <mergeCell ref="D7:E7"/>
    <mergeCell ref="CJ9:CU9"/>
    <mergeCell ref="B42:P42"/>
    <mergeCell ref="D5:L5"/>
    <mergeCell ref="D6:L6"/>
    <mergeCell ref="B39:P39"/>
    <mergeCell ref="BX9:CI9"/>
    <mergeCell ref="BL9:BW9"/>
    <mergeCell ref="AZ9:BK9"/>
    <mergeCell ref="AN9:AY9"/>
    <mergeCell ref="B30:Y30"/>
    <mergeCell ref="P9:AA9"/>
    <mergeCell ref="AB9:AM9"/>
    <mergeCell ref="D9:O9"/>
    <mergeCell ref="B38:N38"/>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DN47"/>
  <sheetViews>
    <sheetView showGridLines="0" zoomScale="90" zoomScaleNormal="90" workbookViewId="0">
      <pane xSplit="3" ySplit="10" topLeftCell="DF11" activePane="bottomRight" state="frozen"/>
      <selection pane="topRight" activeCell="D1" sqref="D1"/>
      <selection pane="bottomLeft" activeCell="A11" sqref="A11"/>
      <selection pane="bottomRight" activeCell="DP17" sqref="DP17"/>
    </sheetView>
  </sheetViews>
  <sheetFormatPr baseColWidth="10" defaultRowHeight="14.4" x14ac:dyDescent="0.3"/>
  <cols>
    <col min="1" max="1" width="2.109375" style="56" customWidth="1"/>
    <col min="2" max="2" width="5.109375" style="56" customWidth="1"/>
    <col min="3" max="3" width="30.109375" style="56" customWidth="1"/>
    <col min="4" max="9" width="13" style="56" customWidth="1"/>
    <col min="10" max="34" width="13.88671875" style="56" customWidth="1"/>
    <col min="35" max="38" width="13.44140625" style="56" customWidth="1"/>
    <col min="39" max="39" width="13.6640625" style="56" customWidth="1"/>
    <col min="40" max="40" width="13.33203125" style="56" bestFit="1" customWidth="1"/>
    <col min="41" max="50" width="13.33203125" style="56" customWidth="1"/>
    <col min="51" max="51" width="13.88671875" style="56" customWidth="1"/>
    <col min="52" max="52" width="15.6640625" style="56" customWidth="1"/>
    <col min="53" max="53" width="15" style="56" customWidth="1"/>
    <col min="54" max="54" width="13.88671875" style="56" customWidth="1"/>
    <col min="55" max="58" width="13" style="56" customWidth="1"/>
    <col min="59" max="59" width="15.33203125" style="56" customWidth="1"/>
    <col min="60" max="60" width="16.88671875" style="56" customWidth="1"/>
    <col min="61" max="61" width="15.33203125" style="56" customWidth="1"/>
    <col min="62" max="65" width="13.109375" style="56" bestFit="1" customWidth="1"/>
    <col min="66" max="68" width="13.109375" style="56" customWidth="1"/>
    <col min="69" max="69" width="13.6640625" style="56" customWidth="1"/>
    <col min="70" max="70" width="13.88671875" style="56" customWidth="1"/>
    <col min="71" max="71" width="13.6640625" style="56" customWidth="1"/>
    <col min="72" max="73" width="13.109375" style="56" bestFit="1" customWidth="1"/>
    <col min="74" max="74" width="13.109375" style="56" customWidth="1"/>
    <col min="75" max="82" width="13.44140625" style="56" customWidth="1"/>
    <col min="83" max="86" width="14.33203125" style="56" customWidth="1"/>
    <col min="87" max="87" width="15" style="56" customWidth="1"/>
    <col min="88" max="89" width="15.109375" style="56" customWidth="1"/>
    <col min="90" max="91" width="13.109375" style="56" bestFit="1" customWidth="1"/>
    <col min="92" max="93" width="13.33203125" style="56" bestFit="1" customWidth="1"/>
    <col min="94" max="97" width="17" style="56" bestFit="1" customWidth="1"/>
    <col min="98" max="98" width="18.109375" style="56" bestFit="1" customWidth="1"/>
    <col min="99" max="99" width="14.77734375" style="56" customWidth="1"/>
    <col min="100" max="110" width="19.5546875" style="56" customWidth="1"/>
    <col min="111" max="111" width="17.88671875" style="56" customWidth="1"/>
    <col min="112" max="113" width="18.109375" style="56" customWidth="1"/>
    <col min="114" max="114" width="14.5546875" style="56" customWidth="1"/>
    <col min="115" max="115" width="15.6640625" style="56" customWidth="1"/>
    <col min="116" max="118" width="13.88671875" style="56" customWidth="1"/>
    <col min="119" max="16384" width="11.5546875" style="56"/>
  </cols>
  <sheetData>
    <row r="1" spans="2:118" ht="4.5" customHeight="1" x14ac:dyDescent="0.3">
      <c r="CE1" s="56" t="s">
        <v>95</v>
      </c>
    </row>
    <row r="2" spans="2:118" x14ac:dyDescent="0.3">
      <c r="CV2" s="25"/>
      <c r="CW2" s="25"/>
      <c r="CX2" s="25"/>
      <c r="CY2" s="25"/>
      <c r="CZ2" s="25"/>
      <c r="DA2" s="25"/>
      <c r="DB2" s="25"/>
      <c r="DC2" s="25"/>
      <c r="DD2" s="25"/>
      <c r="DE2" s="25"/>
      <c r="DF2" s="25"/>
    </row>
    <row r="3" spans="2:118" x14ac:dyDescent="0.3">
      <c r="B3" s="57"/>
      <c r="C3" s="57"/>
      <c r="D3" s="112" t="s">
        <v>16</v>
      </c>
      <c r="E3" s="112"/>
      <c r="F3" s="112"/>
      <c r="G3" s="112"/>
      <c r="H3" s="112"/>
      <c r="I3" s="112"/>
      <c r="J3" s="112"/>
      <c r="K3" s="112"/>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76"/>
    </row>
    <row r="4" spans="2:118" x14ac:dyDescent="0.3">
      <c r="B4" s="57"/>
      <c r="C4" s="57"/>
      <c r="D4" s="101" t="s">
        <v>33</v>
      </c>
      <c r="E4" s="101"/>
      <c r="F4" s="101"/>
      <c r="G4" s="101"/>
      <c r="H4" s="101"/>
      <c r="I4" s="101"/>
      <c r="J4" s="101"/>
      <c r="K4" s="101"/>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76"/>
    </row>
    <row r="5" spans="2:118" x14ac:dyDescent="0.3">
      <c r="B5" s="58"/>
      <c r="C5" s="58"/>
      <c r="D5" s="101" t="s">
        <v>121</v>
      </c>
      <c r="E5" s="101"/>
      <c r="F5" s="101"/>
      <c r="G5" s="101"/>
      <c r="H5" s="101"/>
      <c r="I5" s="101"/>
      <c r="J5" s="101"/>
      <c r="K5" s="101"/>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77"/>
    </row>
    <row r="6" spans="2:118" x14ac:dyDescent="0.3">
      <c r="D6" s="102" t="s">
        <v>34</v>
      </c>
      <c r="E6" s="102"/>
      <c r="F6" s="102"/>
      <c r="G6" s="102"/>
      <c r="H6" s="102"/>
      <c r="I6" s="102"/>
      <c r="J6" s="102"/>
      <c r="K6" s="102"/>
    </row>
    <row r="7" spans="2:118" x14ac:dyDescent="0.3">
      <c r="D7" s="98" t="s">
        <v>19</v>
      </c>
      <c r="E7" s="98"/>
      <c r="F7" s="51"/>
      <c r="G7" s="51"/>
      <c r="H7" s="51"/>
      <c r="I7" s="51"/>
      <c r="J7" s="51"/>
      <c r="K7" s="51"/>
    </row>
    <row r="9" spans="2:118" x14ac:dyDescent="0.3">
      <c r="B9" s="60"/>
      <c r="C9" s="60"/>
      <c r="D9" s="105" t="s">
        <v>13</v>
      </c>
      <c r="E9" s="105"/>
      <c r="F9" s="105"/>
      <c r="G9" s="105"/>
      <c r="H9" s="105"/>
      <c r="I9" s="105"/>
      <c r="J9" s="105"/>
      <c r="K9" s="105"/>
      <c r="L9" s="105"/>
      <c r="M9" s="105"/>
      <c r="N9" s="105"/>
      <c r="O9" s="105"/>
      <c r="P9" s="105" t="s">
        <v>14</v>
      </c>
      <c r="Q9" s="105"/>
      <c r="R9" s="105"/>
      <c r="S9" s="105"/>
      <c r="T9" s="105"/>
      <c r="U9" s="105"/>
      <c r="V9" s="105"/>
      <c r="W9" s="105"/>
      <c r="X9" s="105"/>
      <c r="Y9" s="105"/>
      <c r="Z9" s="105"/>
      <c r="AA9" s="105"/>
      <c r="AB9" s="105" t="s">
        <v>15</v>
      </c>
      <c r="AC9" s="105"/>
      <c r="AD9" s="105"/>
      <c r="AE9" s="105"/>
      <c r="AF9" s="105"/>
      <c r="AG9" s="105"/>
      <c r="AH9" s="105"/>
      <c r="AI9" s="105"/>
      <c r="AJ9" s="105"/>
      <c r="AK9" s="105"/>
      <c r="AL9" s="105"/>
      <c r="AM9" s="105"/>
      <c r="AN9" s="105" t="s">
        <v>67</v>
      </c>
      <c r="AO9" s="105"/>
      <c r="AP9" s="105"/>
      <c r="AQ9" s="105"/>
      <c r="AR9" s="105"/>
      <c r="AS9" s="105"/>
      <c r="AT9" s="105"/>
      <c r="AU9" s="105"/>
      <c r="AV9" s="105"/>
      <c r="AW9" s="105"/>
      <c r="AX9" s="105"/>
      <c r="AY9" s="105"/>
      <c r="AZ9" s="105" t="s">
        <v>84</v>
      </c>
      <c r="BA9" s="105"/>
      <c r="BB9" s="105"/>
      <c r="BC9" s="105"/>
      <c r="BD9" s="105"/>
      <c r="BE9" s="105"/>
      <c r="BF9" s="105"/>
      <c r="BG9" s="105"/>
      <c r="BH9" s="105"/>
      <c r="BI9" s="105"/>
      <c r="BJ9" s="105"/>
      <c r="BK9" s="105"/>
      <c r="BL9" s="104" t="s">
        <v>87</v>
      </c>
      <c r="BM9" s="104"/>
      <c r="BN9" s="104"/>
      <c r="BO9" s="104"/>
      <c r="BP9" s="104"/>
      <c r="BQ9" s="104"/>
      <c r="BR9" s="104"/>
      <c r="BS9" s="104"/>
      <c r="BT9" s="104"/>
      <c r="BU9" s="104"/>
      <c r="BV9" s="104"/>
      <c r="BW9" s="104"/>
      <c r="BX9" s="110" t="s">
        <v>93</v>
      </c>
      <c r="BY9" s="110"/>
      <c r="BZ9" s="110"/>
      <c r="CA9" s="110"/>
      <c r="CB9" s="110"/>
      <c r="CC9" s="110"/>
      <c r="CD9" s="110"/>
      <c r="CE9" s="110"/>
      <c r="CF9" s="110"/>
      <c r="CG9" s="110"/>
      <c r="CH9" s="110"/>
      <c r="CI9" s="110"/>
      <c r="CJ9" s="106" t="s">
        <v>107</v>
      </c>
      <c r="CK9" s="107"/>
      <c r="CL9" s="107"/>
      <c r="CM9" s="107"/>
      <c r="CN9" s="107"/>
      <c r="CO9" s="107"/>
      <c r="CP9" s="107"/>
      <c r="CQ9" s="107"/>
      <c r="CR9" s="107"/>
      <c r="CS9" s="107"/>
      <c r="CT9" s="107"/>
      <c r="CU9" s="107"/>
      <c r="CV9" s="106" t="s">
        <v>116</v>
      </c>
      <c r="CW9" s="107"/>
      <c r="CX9" s="107"/>
      <c r="CY9" s="107"/>
      <c r="CZ9" s="107"/>
      <c r="DA9" s="107"/>
      <c r="DB9" s="107"/>
      <c r="DC9" s="107"/>
      <c r="DD9" s="107"/>
      <c r="DE9" s="107"/>
      <c r="DF9" s="107"/>
      <c r="DG9" s="107"/>
      <c r="DH9" s="108" t="s">
        <v>119</v>
      </c>
      <c r="DI9" s="109"/>
      <c r="DJ9" s="109"/>
      <c r="DK9" s="109"/>
      <c r="DL9" s="109"/>
      <c r="DM9" s="109"/>
      <c r="DN9" s="109"/>
    </row>
    <row r="10" spans="2:118" ht="16.2" x14ac:dyDescent="0.3">
      <c r="B10" s="12"/>
      <c r="C10" s="12"/>
      <c r="D10" s="52" t="s">
        <v>10</v>
      </c>
      <c r="E10" s="52" t="s">
        <v>0</v>
      </c>
      <c r="F10" s="52" t="s">
        <v>7</v>
      </c>
      <c r="G10" s="52" t="s">
        <v>8</v>
      </c>
      <c r="H10" s="52" t="s">
        <v>9</v>
      </c>
      <c r="I10" s="52" t="s">
        <v>11</v>
      </c>
      <c r="J10" s="52" t="s">
        <v>1</v>
      </c>
      <c r="K10" s="52" t="s">
        <v>12</v>
      </c>
      <c r="L10" s="52" t="s">
        <v>2</v>
      </c>
      <c r="M10" s="52" t="s">
        <v>3</v>
      </c>
      <c r="N10" s="52" t="s">
        <v>4</v>
      </c>
      <c r="O10" s="52" t="s">
        <v>5</v>
      </c>
      <c r="P10" s="52" t="s">
        <v>10</v>
      </c>
      <c r="Q10" s="52" t="s">
        <v>0</v>
      </c>
      <c r="R10" s="52" t="s">
        <v>7</v>
      </c>
      <c r="S10" s="52" t="s">
        <v>8</v>
      </c>
      <c r="T10" s="52" t="s">
        <v>9</v>
      </c>
      <c r="U10" s="52" t="s">
        <v>11</v>
      </c>
      <c r="V10" s="52" t="s">
        <v>1</v>
      </c>
      <c r="W10" s="52" t="s">
        <v>12</v>
      </c>
      <c r="X10" s="52" t="s">
        <v>2</v>
      </c>
      <c r="Y10" s="52" t="s">
        <v>3</v>
      </c>
      <c r="Z10" s="52" t="s">
        <v>4</v>
      </c>
      <c r="AA10" s="52" t="s">
        <v>5</v>
      </c>
      <c r="AB10" s="53" t="s">
        <v>10</v>
      </c>
      <c r="AC10" s="53" t="s">
        <v>0</v>
      </c>
      <c r="AD10" s="53" t="s">
        <v>7</v>
      </c>
      <c r="AE10" s="53" t="s">
        <v>8</v>
      </c>
      <c r="AF10" s="53" t="s">
        <v>9</v>
      </c>
      <c r="AG10" s="53" t="s">
        <v>53</v>
      </c>
      <c r="AH10" s="53" t="s">
        <v>1</v>
      </c>
      <c r="AI10" s="53" t="s">
        <v>12</v>
      </c>
      <c r="AJ10" s="53" t="s">
        <v>2</v>
      </c>
      <c r="AK10" s="53" t="s">
        <v>3</v>
      </c>
      <c r="AL10" s="53" t="s">
        <v>4</v>
      </c>
      <c r="AM10" s="53" t="s">
        <v>74</v>
      </c>
      <c r="AN10" s="52" t="s">
        <v>10</v>
      </c>
      <c r="AO10" s="52" t="s">
        <v>0</v>
      </c>
      <c r="AP10" s="52" t="s">
        <v>7</v>
      </c>
      <c r="AQ10" s="52" t="s">
        <v>8</v>
      </c>
      <c r="AR10" s="52" t="s">
        <v>9</v>
      </c>
      <c r="AS10" s="52" t="s">
        <v>53</v>
      </c>
      <c r="AT10" s="54" t="s">
        <v>78</v>
      </c>
      <c r="AU10" s="52" t="s">
        <v>12</v>
      </c>
      <c r="AV10" s="52" t="s">
        <v>2</v>
      </c>
      <c r="AW10" s="52" t="s">
        <v>3</v>
      </c>
      <c r="AX10" s="52" t="s">
        <v>4</v>
      </c>
      <c r="AY10" s="52" t="s">
        <v>83</v>
      </c>
      <c r="AZ10" s="52" t="s">
        <v>10</v>
      </c>
      <c r="BA10" s="52" t="s">
        <v>0</v>
      </c>
      <c r="BB10" s="52" t="s">
        <v>7</v>
      </c>
      <c r="BC10" s="52" t="s">
        <v>8</v>
      </c>
      <c r="BD10" s="52" t="s">
        <v>9</v>
      </c>
      <c r="BE10" s="52" t="s">
        <v>11</v>
      </c>
      <c r="BF10" s="52" t="s">
        <v>1</v>
      </c>
      <c r="BG10" s="52" t="s">
        <v>12</v>
      </c>
      <c r="BH10" s="52" t="s">
        <v>86</v>
      </c>
      <c r="BI10" s="52" t="s">
        <v>3</v>
      </c>
      <c r="BJ10" s="52" t="s">
        <v>4</v>
      </c>
      <c r="BK10" s="52" t="s">
        <v>5</v>
      </c>
      <c r="BL10" s="52" t="s">
        <v>10</v>
      </c>
      <c r="BM10" s="52" t="s">
        <v>0</v>
      </c>
      <c r="BN10" s="52" t="s">
        <v>7</v>
      </c>
      <c r="BO10" s="52" t="s">
        <v>8</v>
      </c>
      <c r="BP10" s="52" t="s">
        <v>9</v>
      </c>
      <c r="BQ10" s="52" t="s">
        <v>11</v>
      </c>
      <c r="BR10" s="54" t="s">
        <v>91</v>
      </c>
      <c r="BS10" s="54" t="s">
        <v>92</v>
      </c>
      <c r="BT10" s="52" t="s">
        <v>2</v>
      </c>
      <c r="BU10" s="52" t="s">
        <v>88</v>
      </c>
      <c r="BV10" s="52" t="s">
        <v>4</v>
      </c>
      <c r="BW10" s="52" t="s">
        <v>5</v>
      </c>
      <c r="BX10" s="54" t="s">
        <v>10</v>
      </c>
      <c r="BY10" s="54" t="s">
        <v>0</v>
      </c>
      <c r="BZ10" s="54" t="s">
        <v>7</v>
      </c>
      <c r="CA10" s="54" t="s">
        <v>8</v>
      </c>
      <c r="CB10" s="54" t="s">
        <v>97</v>
      </c>
      <c r="CC10" s="54" t="s">
        <v>98</v>
      </c>
      <c r="CD10" s="54" t="s">
        <v>1</v>
      </c>
      <c r="CE10" s="54" t="s">
        <v>12</v>
      </c>
      <c r="CF10" s="54" t="s">
        <v>2</v>
      </c>
      <c r="CG10" s="54" t="s">
        <v>3</v>
      </c>
      <c r="CH10" s="54" t="s">
        <v>4</v>
      </c>
      <c r="CI10" s="54" t="s">
        <v>5</v>
      </c>
      <c r="CJ10" s="54" t="s">
        <v>105</v>
      </c>
      <c r="CK10" s="54" t="s">
        <v>108</v>
      </c>
      <c r="CL10" s="54" t="s">
        <v>112</v>
      </c>
      <c r="CM10" s="54" t="s">
        <v>8</v>
      </c>
      <c r="CN10" s="54" t="s">
        <v>9</v>
      </c>
      <c r="CO10" s="54" t="s">
        <v>11</v>
      </c>
      <c r="CP10" s="54" t="s">
        <v>1</v>
      </c>
      <c r="CQ10" s="54" t="s">
        <v>12</v>
      </c>
      <c r="CR10" s="54" t="s">
        <v>2</v>
      </c>
      <c r="CS10" s="54" t="s">
        <v>3</v>
      </c>
      <c r="CT10" s="54" t="s">
        <v>4</v>
      </c>
      <c r="CU10" s="54" t="s">
        <v>5</v>
      </c>
      <c r="CV10" s="54" t="s">
        <v>10</v>
      </c>
      <c r="CW10" s="54" t="s">
        <v>0</v>
      </c>
      <c r="CX10" s="54" t="s">
        <v>7</v>
      </c>
      <c r="CY10" s="54" t="s">
        <v>8</v>
      </c>
      <c r="CZ10" s="54" t="s">
        <v>9</v>
      </c>
      <c r="DA10" s="54" t="s">
        <v>11</v>
      </c>
      <c r="DB10" s="54" t="s">
        <v>1</v>
      </c>
      <c r="DC10" s="55" t="s">
        <v>12</v>
      </c>
      <c r="DD10" s="83" t="s">
        <v>2</v>
      </c>
      <c r="DE10" s="84" t="s">
        <v>3</v>
      </c>
      <c r="DF10" s="85" t="s">
        <v>4</v>
      </c>
      <c r="DG10" s="86" t="s">
        <v>5</v>
      </c>
      <c r="DH10" s="87" t="s">
        <v>10</v>
      </c>
      <c r="DI10" s="88" t="s">
        <v>0</v>
      </c>
      <c r="DJ10" s="89" t="s">
        <v>7</v>
      </c>
      <c r="DK10" s="90" t="s">
        <v>8</v>
      </c>
      <c r="DL10" s="91" t="s">
        <v>9</v>
      </c>
      <c r="DM10" s="92" t="s">
        <v>11</v>
      </c>
      <c r="DN10" s="93" t="s">
        <v>1</v>
      </c>
    </row>
    <row r="11" spans="2:118" x14ac:dyDescent="0.3">
      <c r="B11" s="36">
        <v>1</v>
      </c>
      <c r="C11" s="37" t="s">
        <v>20</v>
      </c>
      <c r="D11" s="44"/>
      <c r="E11" s="44"/>
      <c r="F11" s="44"/>
      <c r="G11" s="44">
        <v>75694.617240000007</v>
      </c>
      <c r="H11" s="44">
        <v>79723.219169999997</v>
      </c>
      <c r="I11" s="44">
        <v>79806.080910000004</v>
      </c>
      <c r="J11" s="44">
        <v>95610.099170000001</v>
      </c>
      <c r="K11" s="44">
        <v>95714.932620000007</v>
      </c>
      <c r="L11" s="44">
        <v>98472.872399999993</v>
      </c>
      <c r="M11" s="44">
        <v>103986.91131000001</v>
      </c>
      <c r="N11" s="44">
        <v>104012.07256999999</v>
      </c>
      <c r="O11" s="44">
        <v>106938.87583</v>
      </c>
      <c r="P11" s="28">
        <v>112459.85208000001</v>
      </c>
      <c r="Q11" s="28">
        <v>115579.22175</v>
      </c>
      <c r="R11" s="28">
        <v>118634.32746</v>
      </c>
      <c r="S11" s="28">
        <v>121572.76845</v>
      </c>
      <c r="T11" s="28">
        <v>124656.71650000001</v>
      </c>
      <c r="U11" s="28">
        <v>127632.78541</v>
      </c>
      <c r="V11" s="28">
        <v>130736.32670999999</v>
      </c>
      <c r="W11" s="28">
        <v>134053.24718000001</v>
      </c>
      <c r="X11" s="28">
        <v>137066.65774</v>
      </c>
      <c r="Y11" s="28">
        <v>140181.90850999998</v>
      </c>
      <c r="Z11" s="28">
        <v>143294.89079</v>
      </c>
      <c r="AA11" s="28">
        <v>146388.50107</v>
      </c>
      <c r="AB11" s="28">
        <v>149429.12607</v>
      </c>
      <c r="AC11" s="28">
        <v>152465.85595000003</v>
      </c>
      <c r="AD11" s="28">
        <v>155335.75805</v>
      </c>
      <c r="AE11" s="28">
        <v>158447.57449</v>
      </c>
      <c r="AF11" s="28">
        <v>161690.83991000004</v>
      </c>
      <c r="AG11" s="28">
        <v>164902.41965000003</v>
      </c>
      <c r="AH11" s="28">
        <v>168181.78159999999</v>
      </c>
      <c r="AI11" s="28">
        <v>201850.21295000002</v>
      </c>
      <c r="AJ11" s="28">
        <v>205372.62917</v>
      </c>
      <c r="AK11" s="28">
        <v>181978.45221000002</v>
      </c>
      <c r="AL11" s="28">
        <v>214610.26259999999</v>
      </c>
      <c r="AM11" s="28">
        <v>214901.16497000001</v>
      </c>
      <c r="AN11" s="28">
        <v>214676.34898000001</v>
      </c>
      <c r="AO11" s="27">
        <v>217249.18317</v>
      </c>
      <c r="AP11" s="27">
        <v>259827.38329999999</v>
      </c>
      <c r="AQ11" s="27">
        <v>264086.85930000001</v>
      </c>
      <c r="AR11" s="27">
        <v>266633.96498000005</v>
      </c>
      <c r="AS11" s="27">
        <v>269043.05189</v>
      </c>
      <c r="AT11" s="27">
        <v>272137.85358</v>
      </c>
      <c r="AU11" s="27">
        <v>274908.2855</v>
      </c>
      <c r="AV11" s="27">
        <v>278572.85558999999</v>
      </c>
      <c r="AW11" s="27">
        <v>282202.52895000001</v>
      </c>
      <c r="AX11" s="27">
        <v>286524.95299999998</v>
      </c>
      <c r="AY11" s="27">
        <v>289778.85935000004</v>
      </c>
      <c r="AZ11" s="27">
        <v>293312.15129000001</v>
      </c>
      <c r="BA11" s="27">
        <v>292411.49562000006</v>
      </c>
      <c r="BB11" s="27">
        <v>301087.33512</v>
      </c>
      <c r="BC11" s="27">
        <v>305655.50400000007</v>
      </c>
      <c r="BD11" s="27">
        <v>309181.50884000002</v>
      </c>
      <c r="BE11" s="27">
        <v>313378.23868000001</v>
      </c>
      <c r="BF11" s="27">
        <v>317940.98186</v>
      </c>
      <c r="BG11" s="27">
        <v>322323.78662999999</v>
      </c>
      <c r="BH11" s="27">
        <v>326816.41220999998</v>
      </c>
      <c r="BI11" s="27">
        <v>331282.66715999995</v>
      </c>
      <c r="BJ11" s="27">
        <v>330892.79903999995</v>
      </c>
      <c r="BK11" s="27">
        <v>340992.91488000005</v>
      </c>
      <c r="BL11" s="27">
        <v>341192.90028000006</v>
      </c>
      <c r="BM11" s="27">
        <v>346492.15136999998</v>
      </c>
      <c r="BN11" s="27">
        <v>357213.23659999995</v>
      </c>
      <c r="BO11" s="27">
        <v>357308.66392000002</v>
      </c>
      <c r="BP11" s="27">
        <v>362899.37947000004</v>
      </c>
      <c r="BQ11" s="27">
        <v>368723.82351000007</v>
      </c>
      <c r="BR11" s="27">
        <v>376802.76355000009</v>
      </c>
      <c r="BS11" s="27">
        <v>383285.85804000002</v>
      </c>
      <c r="BT11" s="28">
        <v>390663.23988999997</v>
      </c>
      <c r="BU11" s="28">
        <v>396310.47162000003</v>
      </c>
      <c r="BV11" s="28">
        <v>403040.29021000001</v>
      </c>
      <c r="BW11" s="28">
        <v>415042.20556999999</v>
      </c>
      <c r="BX11" s="27">
        <v>415622.50606999994</v>
      </c>
      <c r="BY11" s="27">
        <v>423514.77004999999</v>
      </c>
      <c r="BZ11" s="27">
        <v>435752.67379999999</v>
      </c>
      <c r="CA11" s="27">
        <v>436722.20372000005</v>
      </c>
      <c r="CB11" s="27">
        <v>437478.38364000001</v>
      </c>
      <c r="CC11" s="27">
        <v>438068.45302000002</v>
      </c>
      <c r="CD11" s="27">
        <v>458735.73505999998</v>
      </c>
      <c r="CE11" s="27">
        <v>471037.79149000003</v>
      </c>
      <c r="CF11" s="27">
        <v>472416.70958000002</v>
      </c>
      <c r="CG11" s="27">
        <v>484956.53638000001</v>
      </c>
      <c r="CH11" s="27">
        <v>492224.76750000002</v>
      </c>
      <c r="CI11" s="27">
        <v>500502.36975999997</v>
      </c>
      <c r="CJ11" s="27">
        <v>501142.49078000005</v>
      </c>
      <c r="CK11" s="27">
        <v>501636.95724000002</v>
      </c>
      <c r="CL11" s="27">
        <v>502799.27208999998</v>
      </c>
      <c r="CM11" s="27">
        <f>526333558.17/1000</f>
        <v>526333.55816999997</v>
      </c>
      <c r="CN11" s="27">
        <f>535406745.14/1000</f>
        <v>535406.74514000001</v>
      </c>
      <c r="CO11" s="27">
        <f>549631676.08/1000</f>
        <v>549631.67608</v>
      </c>
      <c r="CP11" s="27">
        <f>+VLOOKUP(B11,'[1]Est. Sit. FSDSFPS'!$A$5:$CL$21,90,0)/1000</f>
        <v>551858.27017000003</v>
      </c>
      <c r="CQ11" s="27">
        <f>570502638.88/1000</f>
        <v>570502.63887999998</v>
      </c>
      <c r="CR11" s="27">
        <f>579394971.49/1000</f>
        <v>579394.97149000003</v>
      </c>
      <c r="CS11" s="27">
        <f>580332425.29/1000</f>
        <v>580332.42528999993</v>
      </c>
      <c r="CT11" s="27">
        <v>597414.51008999988</v>
      </c>
      <c r="CU11" s="27">
        <f>607148364.74/1000</f>
        <v>607148.36473999999</v>
      </c>
      <c r="CV11" s="27">
        <v>614769.19358999992</v>
      </c>
      <c r="CW11" s="27">
        <v>625158.38710000005</v>
      </c>
      <c r="CX11" s="27">
        <v>636729.61004000006</v>
      </c>
      <c r="CY11" s="27">
        <v>646259.42565999995</v>
      </c>
      <c r="CZ11" s="27">
        <v>651442.73885000008</v>
      </c>
      <c r="DA11" s="27">
        <v>663840.23006000009</v>
      </c>
      <c r="DB11" s="27">
        <v>677707.81497000006</v>
      </c>
      <c r="DC11" s="27">
        <v>686213.91237999999</v>
      </c>
      <c r="DD11" s="27">
        <v>697876.26887000003</v>
      </c>
      <c r="DE11" s="27">
        <v>710098.37184000004</v>
      </c>
      <c r="DF11" s="27">
        <v>722675.86157000007</v>
      </c>
      <c r="DG11" s="27">
        <v>735103.72719000001</v>
      </c>
      <c r="DH11" s="27">
        <v>748082.77639000001</v>
      </c>
      <c r="DI11" s="27">
        <v>760530.0146900001</v>
      </c>
      <c r="DJ11" s="27">
        <v>777423.34933</v>
      </c>
      <c r="DK11" s="27">
        <v>791964.55731999991</v>
      </c>
      <c r="DL11" s="27">
        <v>806066.69600999996</v>
      </c>
      <c r="DM11" s="27">
        <v>820101.30660999997</v>
      </c>
      <c r="DN11" s="27">
        <v>834249.29495999997</v>
      </c>
    </row>
    <row r="12" spans="2:118" x14ac:dyDescent="0.3">
      <c r="B12" s="36" t="s">
        <v>21</v>
      </c>
      <c r="C12" s="38" t="s">
        <v>22</v>
      </c>
      <c r="D12" s="45"/>
      <c r="E12" s="45"/>
      <c r="F12" s="45"/>
      <c r="G12" s="45">
        <v>15007.142810000001</v>
      </c>
      <c r="H12" s="45">
        <v>18891.521699999998</v>
      </c>
      <c r="I12" s="45">
        <v>18220.143780000002</v>
      </c>
      <c r="J12" s="45">
        <v>33928.404399999999</v>
      </c>
      <c r="K12" s="45">
        <v>29727.727039999998</v>
      </c>
      <c r="L12" s="45">
        <v>42469.57993</v>
      </c>
      <c r="M12" s="45">
        <v>80368.216260000001</v>
      </c>
      <c r="N12" s="45">
        <v>69824.786630000002</v>
      </c>
      <c r="O12" s="45">
        <v>72529.60441</v>
      </c>
      <c r="P12" s="78">
        <v>77945.369500000001</v>
      </c>
      <c r="Q12" s="78">
        <v>66081.821079999994</v>
      </c>
      <c r="R12" s="78">
        <v>58407.429229999994</v>
      </c>
      <c r="S12" s="78">
        <v>40890.248450000006</v>
      </c>
      <c r="T12" s="78">
        <v>43824.354490000005</v>
      </c>
      <c r="U12" s="78">
        <v>26324.40739</v>
      </c>
      <c r="V12" s="78">
        <v>54347.630429999997</v>
      </c>
      <c r="W12" s="78">
        <v>72674.33597</v>
      </c>
      <c r="X12" s="78">
        <v>66537.491280000002</v>
      </c>
      <c r="Y12" s="78">
        <v>71383.12337999999</v>
      </c>
      <c r="Z12" s="78">
        <v>74430.771919999999</v>
      </c>
      <c r="AA12" s="78">
        <v>77467.321530000001</v>
      </c>
      <c r="AB12" s="78">
        <v>80585.337430000014</v>
      </c>
      <c r="AC12" s="78">
        <v>83508.125180000003</v>
      </c>
      <c r="AD12" s="30">
        <v>41582.043619999997</v>
      </c>
      <c r="AE12" s="30">
        <v>26552.664399999998</v>
      </c>
      <c r="AF12" s="30">
        <v>15962.509470000001</v>
      </c>
      <c r="AG12" s="30">
        <v>19126.463800000001</v>
      </c>
      <c r="AH12" s="30">
        <v>22521.57501</v>
      </c>
      <c r="AI12" s="30">
        <v>55593.736490000003</v>
      </c>
      <c r="AJ12" s="30">
        <v>58440.405639999997</v>
      </c>
      <c r="AK12" s="30">
        <v>71891.692219999997</v>
      </c>
      <c r="AL12" s="30">
        <v>75204.688349999997</v>
      </c>
      <c r="AM12" s="30">
        <v>79053.09298999999</v>
      </c>
      <c r="AN12" s="30">
        <v>63363.549119999996</v>
      </c>
      <c r="AO12" s="29">
        <v>67377.901159999994</v>
      </c>
      <c r="AP12" s="29">
        <v>70706.900320000001</v>
      </c>
      <c r="AQ12" s="29">
        <v>75562.349060000008</v>
      </c>
      <c r="AR12" s="29">
        <v>78854.812040000004</v>
      </c>
      <c r="AS12" s="29">
        <v>78617.310539999991</v>
      </c>
      <c r="AT12" s="29">
        <v>84053.024780000007</v>
      </c>
      <c r="AU12" s="29">
        <v>88033.612439999997</v>
      </c>
      <c r="AV12" s="29">
        <v>68302.254939999999</v>
      </c>
      <c r="AW12" s="29">
        <v>72553.321620000002</v>
      </c>
      <c r="AX12" s="29">
        <v>80284.073940000002</v>
      </c>
      <c r="AY12" s="29">
        <v>87023.170290000009</v>
      </c>
      <c r="AZ12" s="29">
        <v>91742.258809999999</v>
      </c>
      <c r="BA12" s="29">
        <v>91756.830490000008</v>
      </c>
      <c r="BB12" s="29">
        <v>108750.18524999999</v>
      </c>
      <c r="BC12" s="29">
        <v>111824.85712999999</v>
      </c>
      <c r="BD12" s="29">
        <v>114569.31934</v>
      </c>
      <c r="BE12" s="29">
        <v>117087.92942</v>
      </c>
      <c r="BF12" s="29">
        <v>121764.84967</v>
      </c>
      <c r="BG12" s="29">
        <v>125108.8423</v>
      </c>
      <c r="BH12" s="29">
        <v>131536.46808999998</v>
      </c>
      <c r="BI12" s="29">
        <v>137414.50313</v>
      </c>
      <c r="BJ12" s="29">
        <v>137633.39891999998</v>
      </c>
      <c r="BK12" s="29">
        <v>149327.41668999998</v>
      </c>
      <c r="BL12" s="29">
        <v>124364.52856999999</v>
      </c>
      <c r="BM12" s="29">
        <v>129110.68061999998</v>
      </c>
      <c r="BN12" s="29">
        <v>145774.14247999998</v>
      </c>
      <c r="BO12" s="29">
        <v>125865.73856999999</v>
      </c>
      <c r="BP12" s="29">
        <v>129295.92067000001</v>
      </c>
      <c r="BQ12" s="29">
        <v>134711.0784</v>
      </c>
      <c r="BR12" s="29">
        <v>142150.08091000002</v>
      </c>
      <c r="BS12" s="29">
        <v>152552.60886000001</v>
      </c>
      <c r="BT12" s="30">
        <v>57174.898829999998</v>
      </c>
      <c r="BU12" s="30">
        <v>169453.94308000003</v>
      </c>
      <c r="BV12" s="30">
        <v>136324.36297999998</v>
      </c>
      <c r="BW12" s="30">
        <v>140562.26058</v>
      </c>
      <c r="BX12" s="29">
        <v>174419.14129</v>
      </c>
      <c r="BY12" s="29">
        <v>87818.778449999998</v>
      </c>
      <c r="BZ12" s="29">
        <v>85577.666360000003</v>
      </c>
      <c r="CA12" s="29">
        <v>68059.570619999999</v>
      </c>
      <c r="CB12" s="29">
        <v>137110.32373000003</v>
      </c>
      <c r="CC12" s="29">
        <v>147121.65046</v>
      </c>
      <c r="CD12" s="29">
        <v>169278.74995</v>
      </c>
      <c r="CE12" s="29">
        <v>151309.62677999999</v>
      </c>
      <c r="CF12" s="29">
        <v>111972.39604000001</v>
      </c>
      <c r="CG12" s="29">
        <v>183580.3095</v>
      </c>
      <c r="CH12" s="29">
        <v>140843.25975999999</v>
      </c>
      <c r="CI12" s="29">
        <v>140626.03</v>
      </c>
      <c r="CJ12" s="29">
        <v>122495.85767</v>
      </c>
      <c r="CK12" s="29">
        <v>127820.23404</v>
      </c>
      <c r="CL12" s="29">
        <v>106163.9368</v>
      </c>
      <c r="CM12" s="29">
        <f>127939991.01/1000</f>
        <v>127939.99101000001</v>
      </c>
      <c r="CN12" s="29">
        <f>136666262.29/1000</f>
        <v>136666.26228999998</v>
      </c>
      <c r="CO12" s="29">
        <f>150704724.99/1000</f>
        <v>150704.72499000002</v>
      </c>
      <c r="CP12" s="29">
        <f>+VLOOKUP(B12,'[1]Est. Sit. FSDSFPS'!$A$5:$CL$21,90,0)/1000</f>
        <v>132739.23123999999</v>
      </c>
      <c r="CQ12" s="29">
        <f>126123416.41/1000</f>
        <v>126123.41640999999</v>
      </c>
      <c r="CR12" s="29">
        <f>131649007.63/1000</f>
        <v>131649.00763000001</v>
      </c>
      <c r="CS12" s="29">
        <f>132745916.44/1000</f>
        <v>132745.91644</v>
      </c>
      <c r="CT12" s="29">
        <v>154527.59713000001</v>
      </c>
      <c r="CU12" s="29">
        <f>141501070.75/1000</f>
        <v>141501.07075000001</v>
      </c>
      <c r="CV12" s="29">
        <v>150441.85096000001</v>
      </c>
      <c r="CW12" s="29">
        <v>196512.64903</v>
      </c>
      <c r="CX12" s="29">
        <v>220132.84466999999</v>
      </c>
      <c r="CY12" s="29">
        <v>182794.09821999999</v>
      </c>
      <c r="CZ12" s="29">
        <v>25256.519909999999</v>
      </c>
      <c r="DA12" s="29">
        <v>55046.150840000002</v>
      </c>
      <c r="DB12" s="29">
        <v>25290.428210000002</v>
      </c>
      <c r="DC12" s="29">
        <v>33770.702829999995</v>
      </c>
      <c r="DD12" s="29">
        <v>28814.182059999999</v>
      </c>
      <c r="DE12" s="29">
        <v>43284.868139999999</v>
      </c>
      <c r="DF12" s="29">
        <v>44159.890960000004</v>
      </c>
      <c r="DG12" s="29">
        <v>25801.991550000002</v>
      </c>
      <c r="DH12" s="29">
        <v>29031.250339999999</v>
      </c>
      <c r="DI12" s="29">
        <v>22014.683290000001</v>
      </c>
      <c r="DJ12" s="29">
        <v>35584.069289999999</v>
      </c>
      <c r="DK12" s="29">
        <v>32614.113920000003</v>
      </c>
      <c r="DL12" s="29">
        <v>35905.055639999999</v>
      </c>
      <c r="DM12" s="29">
        <v>32016.118260000003</v>
      </c>
      <c r="DN12" s="29">
        <v>30653.88681</v>
      </c>
    </row>
    <row r="13" spans="2:118" x14ac:dyDescent="0.3">
      <c r="B13" s="36" t="s">
        <v>23</v>
      </c>
      <c r="C13" s="38" t="s">
        <v>24</v>
      </c>
      <c r="D13" s="45"/>
      <c r="E13" s="45"/>
      <c r="F13" s="45"/>
      <c r="G13" s="45">
        <v>60120.081130000006</v>
      </c>
      <c r="H13" s="45">
        <v>60203.481189999999</v>
      </c>
      <c r="I13" s="45">
        <v>60286.165590000004</v>
      </c>
      <c r="J13" s="45">
        <v>60374.132969999999</v>
      </c>
      <c r="K13" s="45">
        <v>64669.994810000004</v>
      </c>
      <c r="L13" s="45">
        <v>54686.729319999999</v>
      </c>
      <c r="M13" s="45">
        <v>12020.46</v>
      </c>
      <c r="N13" s="45">
        <v>22060.127519999998</v>
      </c>
      <c r="O13" s="45">
        <v>22085.004649999999</v>
      </c>
      <c r="P13" s="78">
        <v>22128.729030000002</v>
      </c>
      <c r="Q13" s="78">
        <v>32128.729030000002</v>
      </c>
      <c r="R13" s="78">
        <v>42673.163939999999</v>
      </c>
      <c r="S13" s="78">
        <v>62752.24353</v>
      </c>
      <c r="T13" s="78">
        <v>62850.921820000003</v>
      </c>
      <c r="U13" s="78">
        <v>82907.101730000009</v>
      </c>
      <c r="V13" s="78">
        <v>57993.172549999996</v>
      </c>
      <c r="W13" s="78">
        <v>42927.980510000001</v>
      </c>
      <c r="X13" s="78">
        <v>43404.651389999999</v>
      </c>
      <c r="Y13" s="78">
        <v>42904.651389999999</v>
      </c>
      <c r="Z13" s="78">
        <v>42904.651389999999</v>
      </c>
      <c r="AA13" s="78">
        <v>42904.651389999999</v>
      </c>
      <c r="AB13" s="78">
        <v>42904.651389999999</v>
      </c>
      <c r="AC13" s="78">
        <v>42904.651389999999</v>
      </c>
      <c r="AD13" s="30">
        <v>87709.604650000008</v>
      </c>
      <c r="AE13" s="30">
        <v>105754.65026000001</v>
      </c>
      <c r="AF13" s="30">
        <v>119382.06061</v>
      </c>
      <c r="AG13" s="30">
        <v>119507.52868</v>
      </c>
      <c r="AH13" s="30">
        <v>119311.41996</v>
      </c>
      <c r="AI13" s="30">
        <v>119216.0865</v>
      </c>
      <c r="AJ13" s="30">
        <v>119202.19898</v>
      </c>
      <c r="AK13" s="30">
        <v>109531.1992</v>
      </c>
      <c r="AL13" s="30">
        <v>109653.27772</v>
      </c>
      <c r="AM13" s="30">
        <v>109779.94339</v>
      </c>
      <c r="AN13" s="30">
        <v>129732.12118999999</v>
      </c>
      <c r="AO13" s="29">
        <v>129554.45437000001</v>
      </c>
      <c r="AP13" s="29">
        <v>169510.80224000002</v>
      </c>
      <c r="AQ13" s="29">
        <v>169455.59641999999</v>
      </c>
      <c r="AR13" s="29">
        <v>169579.19238999998</v>
      </c>
      <c r="AS13" s="29">
        <v>170149.15513999999</v>
      </c>
      <c r="AT13" s="29">
        <v>170274.48416999998</v>
      </c>
      <c r="AU13" s="29">
        <v>170132.98237000001</v>
      </c>
      <c r="AV13" s="29">
        <v>195257.85475999999</v>
      </c>
      <c r="AW13" s="29">
        <v>195380.59615</v>
      </c>
      <c r="AX13" s="29">
        <v>190465.85418999998</v>
      </c>
      <c r="AY13" s="29">
        <v>185413.58238000001</v>
      </c>
      <c r="AZ13" s="29">
        <v>185715.04786000002</v>
      </c>
      <c r="BA13" s="29">
        <v>185562.76472000001</v>
      </c>
      <c r="BB13" s="29">
        <v>179172.73355</v>
      </c>
      <c r="BC13" s="29">
        <v>179301.87646</v>
      </c>
      <c r="BD13" s="29">
        <v>180801.64963999999</v>
      </c>
      <c r="BE13" s="29">
        <v>183776.40143999999</v>
      </c>
      <c r="BF13" s="29">
        <v>184569.83150999999</v>
      </c>
      <c r="BG13" s="29">
        <v>186363.45708000002</v>
      </c>
      <c r="BH13" s="29">
        <v>186337.95058999999</v>
      </c>
      <c r="BI13" s="29">
        <v>186485.33300000001</v>
      </c>
      <c r="BJ13" s="29">
        <v>186628.64336000002</v>
      </c>
      <c r="BK13" s="29">
        <v>185193.5944</v>
      </c>
      <c r="BL13" s="29">
        <v>210320.10141999999</v>
      </c>
      <c r="BM13" s="29">
        <v>210939.72224999999</v>
      </c>
      <c r="BN13" s="29">
        <v>206563.26880000002</v>
      </c>
      <c r="BO13" s="29">
        <v>226805.29115999999</v>
      </c>
      <c r="BP13" s="29">
        <v>228874.61887999999</v>
      </c>
      <c r="BQ13" s="29">
        <v>229361.76157</v>
      </c>
      <c r="BR13" s="29">
        <v>230775.97128</v>
      </c>
      <c r="BS13" s="29">
        <v>228394.98827</v>
      </c>
      <c r="BT13" s="30">
        <v>330940.27254000003</v>
      </c>
      <c r="BU13" s="30">
        <v>224155.82809</v>
      </c>
      <c r="BV13" s="30">
        <v>263826.95165</v>
      </c>
      <c r="BW13" s="30">
        <v>271269.54843000002</v>
      </c>
      <c r="BX13" s="29">
        <v>234948.31151</v>
      </c>
      <c r="BY13" s="29">
        <v>329282.58743000001</v>
      </c>
      <c r="BZ13" s="29">
        <v>343617.21745999996</v>
      </c>
      <c r="CA13" s="29">
        <v>362329.07737000001</v>
      </c>
      <c r="CB13" s="29">
        <v>293721.80776999996</v>
      </c>
      <c r="CC13" s="29">
        <v>283967.65664999996</v>
      </c>
      <c r="CD13" s="29">
        <v>282781.24624000001</v>
      </c>
      <c r="CE13" s="29">
        <v>312583.17958</v>
      </c>
      <c r="CF13" s="29">
        <v>353583.8898</v>
      </c>
      <c r="CG13" s="29">
        <v>294536.42588</v>
      </c>
      <c r="CH13" s="29">
        <v>344304.44151999999</v>
      </c>
      <c r="CI13" s="29">
        <v>352383.18219999998</v>
      </c>
      <c r="CJ13" s="29">
        <v>372522.13887999998</v>
      </c>
      <c r="CK13" s="29">
        <v>368372.60343999998</v>
      </c>
      <c r="CL13" s="29">
        <v>391822.76949999999</v>
      </c>
      <c r="CM13" s="29">
        <f>394474345.51/1000</f>
        <v>394474.34551000001</v>
      </c>
      <c r="CN13" s="29">
        <f>394431166.82/1000</f>
        <v>394431.16681999998</v>
      </c>
      <c r="CO13" s="29">
        <f>393859637.86/1000</f>
        <v>393859.63786000002</v>
      </c>
      <c r="CP13" s="29">
        <f>+VLOOKUP(B13,'[1]Est. Sit. FSDSFPS'!$A$5:$CL$21,90,0)/1000</f>
        <v>414052.88848000002</v>
      </c>
      <c r="CQ13" s="29">
        <f>438908953.85/1000</f>
        <v>438908.95385000005</v>
      </c>
      <c r="CR13" s="29">
        <f>442697495.19/1000</f>
        <v>442697.49518999999</v>
      </c>
      <c r="CS13" s="29">
        <f>442645220.55/1000</f>
        <v>442645.22055000003</v>
      </c>
      <c r="CT13" s="29">
        <v>437504.04417000001</v>
      </c>
      <c r="CU13" s="29">
        <f>459849342.11/1000</f>
        <v>459849.34211000003</v>
      </c>
      <c r="CV13" s="29">
        <v>460020.30956999998</v>
      </c>
      <c r="CW13" s="29">
        <v>424374.69319999998</v>
      </c>
      <c r="CX13" s="29">
        <v>411529.31379000004</v>
      </c>
      <c r="CY13" s="29">
        <v>461030.3897</v>
      </c>
      <c r="CZ13" s="29">
        <v>622945.29945000005</v>
      </c>
      <c r="DA13" s="29">
        <v>605040.48638000002</v>
      </c>
      <c r="DB13" s="29">
        <v>646480.24417999992</v>
      </c>
      <c r="DC13" s="29">
        <v>646491.22592</v>
      </c>
      <c r="DD13" s="29">
        <v>662495.49398000003</v>
      </c>
      <c r="DE13" s="29">
        <v>660481.22558000009</v>
      </c>
      <c r="DF13" s="29">
        <v>673282.80192</v>
      </c>
      <c r="DG13" s="29">
        <v>703628.76090999995</v>
      </c>
      <c r="DH13" s="29">
        <v>715133.04554999992</v>
      </c>
      <c r="DI13" s="29">
        <v>732110.74120000005</v>
      </c>
      <c r="DJ13" s="29">
        <v>734389.82094000001</v>
      </c>
      <c r="DK13" s="29">
        <v>751091.42953999992</v>
      </c>
      <c r="DL13" s="29">
        <v>762828.59412999998</v>
      </c>
      <c r="DM13" s="29">
        <v>779560.38477999996</v>
      </c>
      <c r="DN13" s="29">
        <v>794514.15850000002</v>
      </c>
    </row>
    <row r="14" spans="2:118" x14ac:dyDescent="0.3">
      <c r="B14" s="36" t="s">
        <v>25</v>
      </c>
      <c r="C14" s="38" t="s">
        <v>26</v>
      </c>
      <c r="D14" s="45"/>
      <c r="E14" s="45"/>
      <c r="F14" s="45"/>
      <c r="G14" s="45">
        <v>567.39330000000007</v>
      </c>
      <c r="H14" s="45">
        <v>628.21627999999998</v>
      </c>
      <c r="I14" s="45">
        <v>1299.77154</v>
      </c>
      <c r="J14" s="45">
        <v>1307.5617999999999</v>
      </c>
      <c r="K14" s="45">
        <v>1317.2107699999999</v>
      </c>
      <c r="L14" s="45">
        <v>1316.56315</v>
      </c>
      <c r="M14" s="45">
        <v>11598.235050000001</v>
      </c>
      <c r="N14" s="45">
        <v>12127.15842</v>
      </c>
      <c r="O14" s="45">
        <v>12324.26677</v>
      </c>
      <c r="P14" s="78">
        <v>12385.753550000001</v>
      </c>
      <c r="Q14" s="78">
        <v>17368.67164</v>
      </c>
      <c r="R14" s="78">
        <v>17553.73429</v>
      </c>
      <c r="S14" s="78">
        <v>17930.276469999997</v>
      </c>
      <c r="T14" s="78">
        <v>17981.440190000001</v>
      </c>
      <c r="U14" s="78">
        <v>18401.276289999998</v>
      </c>
      <c r="V14" s="78">
        <v>18395.523730000001</v>
      </c>
      <c r="W14" s="78">
        <v>18450.930700000001</v>
      </c>
      <c r="X14" s="78">
        <v>27124.515070000001</v>
      </c>
      <c r="Y14" s="78">
        <v>25894.133739999997</v>
      </c>
      <c r="Z14" s="78">
        <v>25959.467479999999</v>
      </c>
      <c r="AA14" s="78">
        <v>26016.528149999998</v>
      </c>
      <c r="AB14" s="78">
        <v>25939.13725</v>
      </c>
      <c r="AC14" s="78">
        <v>26053.079379999999</v>
      </c>
      <c r="AD14" s="30">
        <v>26044.109780000003</v>
      </c>
      <c r="AE14" s="30">
        <v>26140.259829999999</v>
      </c>
      <c r="AF14" s="30">
        <v>26346.269829999997</v>
      </c>
      <c r="AG14" s="30">
        <v>26268.427170000003</v>
      </c>
      <c r="AH14" s="30">
        <v>26348.786629999999</v>
      </c>
      <c r="AI14" s="30">
        <v>27040.38996</v>
      </c>
      <c r="AJ14" s="30">
        <v>27730.024550000002</v>
      </c>
      <c r="AK14" s="30">
        <v>555.56079</v>
      </c>
      <c r="AL14" s="30">
        <v>29752.296529999996</v>
      </c>
      <c r="AM14" s="30">
        <v>26068.12859</v>
      </c>
      <c r="AN14" s="30">
        <v>21580.678670000001</v>
      </c>
      <c r="AO14" s="29">
        <v>20316.82764</v>
      </c>
      <c r="AP14" s="29">
        <v>19609.68074</v>
      </c>
      <c r="AQ14" s="29">
        <v>19068.913820000002</v>
      </c>
      <c r="AR14" s="29">
        <v>18199.96055</v>
      </c>
      <c r="AS14" s="29">
        <v>20276.586210000001</v>
      </c>
      <c r="AT14" s="29">
        <v>17810.34463</v>
      </c>
      <c r="AU14" s="29">
        <v>16741.690689999999</v>
      </c>
      <c r="AV14" s="29">
        <v>15012.74589</v>
      </c>
      <c r="AW14" s="29">
        <v>14268.61118</v>
      </c>
      <c r="AX14" s="29">
        <v>15775.024869999999</v>
      </c>
      <c r="AY14" s="29">
        <v>17342.106680000001</v>
      </c>
      <c r="AZ14" s="29">
        <v>15854.84462</v>
      </c>
      <c r="BA14" s="29">
        <v>15091.90041</v>
      </c>
      <c r="BB14" s="29">
        <v>13164.41632</v>
      </c>
      <c r="BC14" s="29">
        <v>14528.770410000001</v>
      </c>
      <c r="BD14" s="29">
        <v>13810.539859999999</v>
      </c>
      <c r="BE14" s="29">
        <v>12513.90782</v>
      </c>
      <c r="BF14" s="29">
        <v>11606.30068</v>
      </c>
      <c r="BG14" s="29">
        <v>10851.48725</v>
      </c>
      <c r="BH14" s="29">
        <v>8941.9935299999997</v>
      </c>
      <c r="BI14" s="29">
        <v>7382.8310300000003</v>
      </c>
      <c r="BJ14" s="29">
        <v>6630.7567600000002</v>
      </c>
      <c r="BK14" s="29">
        <v>6471.9037900000003</v>
      </c>
      <c r="BL14" s="29">
        <v>6508.2702900000004</v>
      </c>
      <c r="BM14" s="29">
        <v>6441.7484999999997</v>
      </c>
      <c r="BN14" s="29">
        <v>4875.8253199999999</v>
      </c>
      <c r="BO14" s="29">
        <v>4637.6341900000007</v>
      </c>
      <c r="BP14" s="29">
        <v>4728.8399200000003</v>
      </c>
      <c r="BQ14" s="29">
        <v>4650.9835400000002</v>
      </c>
      <c r="BR14" s="29">
        <v>3876.7113599999998</v>
      </c>
      <c r="BS14" s="29">
        <v>2338.26091</v>
      </c>
      <c r="BT14" s="30">
        <v>2548.0685199999998</v>
      </c>
      <c r="BU14" s="30">
        <v>2700.7004500000003</v>
      </c>
      <c r="BV14" s="30">
        <v>2888.9755800000003</v>
      </c>
      <c r="BW14" s="30">
        <v>3210.3965600000001</v>
      </c>
      <c r="BX14" s="29">
        <v>6255.0532699999994</v>
      </c>
      <c r="BY14" s="29">
        <v>6413.4041699999998</v>
      </c>
      <c r="BZ14" s="29">
        <v>6557.7899800000005</v>
      </c>
      <c r="CA14" s="29">
        <v>6333.5557299999991</v>
      </c>
      <c r="CB14" s="29">
        <v>6646.2521400000005</v>
      </c>
      <c r="CC14" s="29">
        <v>6979.1459100000002</v>
      </c>
      <c r="CD14" s="29">
        <v>6675.7388700000001</v>
      </c>
      <c r="CE14" s="29">
        <v>7144.98513</v>
      </c>
      <c r="CF14" s="29">
        <v>6860.4237400000002</v>
      </c>
      <c r="CG14" s="29">
        <v>6839.8010000000004</v>
      </c>
      <c r="CH14" s="29">
        <v>7077.0662199999997</v>
      </c>
      <c r="CI14" s="29">
        <v>7493.1575599999996</v>
      </c>
      <c r="CJ14" s="29">
        <v>6124.4942300000002</v>
      </c>
      <c r="CK14" s="29">
        <v>5444.1197599999996</v>
      </c>
      <c r="CL14" s="29">
        <v>4812.5657899999997</v>
      </c>
      <c r="CM14" s="29">
        <f>3919221.65/1000</f>
        <v>3919.22165</v>
      </c>
      <c r="CN14" s="29">
        <f>4309316.03/1000</f>
        <v>4309.31603</v>
      </c>
      <c r="CO14" s="29">
        <f>5067313.23/1000</f>
        <v>5067.3132300000007</v>
      </c>
      <c r="CP14" s="29">
        <f>+VLOOKUP(B14,'[1]Est. Sit. FSDSFPS'!$A$5:$CL$21,90,0)/1000</f>
        <v>5066.1504500000001</v>
      </c>
      <c r="CQ14" s="29">
        <f>5470268.62/1000</f>
        <v>5470.2686199999998</v>
      </c>
      <c r="CR14" s="29">
        <f>5048468.67/1000</f>
        <v>5048.4686700000002</v>
      </c>
      <c r="CS14" s="29">
        <f>4941288.3/1000</f>
        <v>4941.2883000000002</v>
      </c>
      <c r="CT14" s="29">
        <v>5382.8687900000004</v>
      </c>
      <c r="CU14" s="29">
        <f>5979951.88/1000</f>
        <v>5979.9518799999996</v>
      </c>
      <c r="CV14" s="29">
        <v>4307.0330599999998</v>
      </c>
      <c r="CW14" s="29">
        <v>4271.0448699999997</v>
      </c>
      <c r="CX14" s="29">
        <v>5067.4515799999999</v>
      </c>
      <c r="CY14" s="29">
        <v>2434.9377400000003</v>
      </c>
      <c r="CZ14" s="29">
        <v>3240.9194900000002</v>
      </c>
      <c r="DA14" s="29">
        <v>3753.5928399999998</v>
      </c>
      <c r="DB14" s="29">
        <v>5937.1425799999997</v>
      </c>
      <c r="DC14" s="29">
        <v>5951.9836299999997</v>
      </c>
      <c r="DD14" s="29">
        <v>6566.5928300000005</v>
      </c>
      <c r="DE14" s="29">
        <v>6332.2781199999999</v>
      </c>
      <c r="DF14" s="29">
        <v>5233.1686900000004</v>
      </c>
      <c r="DG14" s="29">
        <v>5672.9747300000008</v>
      </c>
      <c r="DH14" s="29">
        <v>3918.4804999999997</v>
      </c>
      <c r="DI14" s="29">
        <v>6404.5902000000006</v>
      </c>
      <c r="DJ14" s="29">
        <v>7449.4591</v>
      </c>
      <c r="DK14" s="29">
        <v>8259.0138600000009</v>
      </c>
      <c r="DL14" s="29">
        <v>7333.0462400000006</v>
      </c>
      <c r="DM14" s="29">
        <v>8524.80357</v>
      </c>
      <c r="DN14" s="29">
        <v>9081.2496499999997</v>
      </c>
    </row>
    <row r="15" spans="2:118" x14ac:dyDescent="0.3">
      <c r="B15" s="36">
        <v>4</v>
      </c>
      <c r="C15" s="38" t="s">
        <v>55</v>
      </c>
      <c r="D15" s="45"/>
      <c r="E15" s="45"/>
      <c r="F15" s="45"/>
      <c r="G15" s="45"/>
      <c r="H15" s="45"/>
      <c r="I15" s="45"/>
      <c r="J15" s="45"/>
      <c r="K15" s="45"/>
      <c r="L15" s="45"/>
      <c r="M15" s="45"/>
      <c r="N15" s="45"/>
      <c r="O15" s="45"/>
      <c r="P15" s="78"/>
      <c r="Q15" s="78"/>
      <c r="R15" s="78"/>
      <c r="S15" s="78"/>
      <c r="T15" s="78"/>
      <c r="U15" s="78"/>
      <c r="V15" s="78"/>
      <c r="W15" s="78"/>
      <c r="X15" s="78"/>
      <c r="Y15" s="78"/>
      <c r="Z15" s="78"/>
      <c r="AA15" s="78"/>
      <c r="AB15" s="78"/>
      <c r="AC15" s="78"/>
      <c r="AD15" s="30"/>
      <c r="AE15" s="30"/>
      <c r="AF15" s="30"/>
      <c r="AG15" s="30"/>
      <c r="AH15" s="30"/>
      <c r="AI15" s="30"/>
      <c r="AJ15" s="30">
        <v>39.698509999999999</v>
      </c>
      <c r="AK15" s="30">
        <v>64.360010000000003</v>
      </c>
      <c r="AL15" s="30">
        <v>87.67446000000001</v>
      </c>
      <c r="AM15" s="30">
        <v>4278.23704</v>
      </c>
      <c r="AN15" s="30">
        <v>4127.1987200000003</v>
      </c>
      <c r="AO15" s="29">
        <v>5937.63681</v>
      </c>
      <c r="AP15" s="29">
        <v>7811.62039</v>
      </c>
      <c r="AQ15" s="29">
        <v>9529.2062899999983</v>
      </c>
      <c r="AR15" s="29">
        <v>11410.51649</v>
      </c>
      <c r="AS15" s="29">
        <v>13588.449470000001</v>
      </c>
      <c r="AT15" s="29">
        <v>15650.01893</v>
      </c>
      <c r="AU15" s="29">
        <v>17790.29248</v>
      </c>
      <c r="AV15" s="29">
        <v>18961.852480000001</v>
      </c>
      <c r="AW15" s="29">
        <v>20137.92337</v>
      </c>
      <c r="AX15" s="29">
        <v>21433.7461</v>
      </c>
      <c r="AY15" s="29">
        <v>0</v>
      </c>
      <c r="AZ15" s="29">
        <v>1437.0826399999999</v>
      </c>
      <c r="BA15" s="29">
        <v>2841.75855</v>
      </c>
      <c r="BB15" s="29">
        <v>4253.5074699999996</v>
      </c>
      <c r="BC15" s="29">
        <v>5667.7317899999998</v>
      </c>
      <c r="BD15" s="29">
        <v>7076.7218499999999</v>
      </c>
      <c r="BE15" s="29">
        <v>8474.5435399999988</v>
      </c>
      <c r="BF15" s="29">
        <v>9756.306779999999</v>
      </c>
      <c r="BG15" s="29">
        <v>11033.47234</v>
      </c>
      <c r="BH15" s="29">
        <v>12279.357049999999</v>
      </c>
      <c r="BI15" s="29">
        <v>13519.173469999998</v>
      </c>
      <c r="BJ15" s="29">
        <v>14774.261119999999</v>
      </c>
      <c r="BK15" s="29"/>
      <c r="BL15" s="29">
        <v>683.99734999999998</v>
      </c>
      <c r="BM15" s="29">
        <v>1354.0787399999999</v>
      </c>
      <c r="BN15" s="29">
        <v>2044.8483100000001</v>
      </c>
      <c r="BO15" s="29">
        <v>2711.9595600000002</v>
      </c>
      <c r="BP15" s="29">
        <v>3411.28406</v>
      </c>
      <c r="BQ15" s="29">
        <v>3901.7211999999995</v>
      </c>
      <c r="BR15" s="29">
        <v>4392.7564499999989</v>
      </c>
      <c r="BS15" s="29">
        <v>4699.5591699999995</v>
      </c>
      <c r="BT15" s="30">
        <v>4703.9409900000001</v>
      </c>
      <c r="BU15" s="30">
        <v>4921.2025100000001</v>
      </c>
      <c r="BV15" s="30">
        <v>5194.0924299999997</v>
      </c>
      <c r="BW15" s="30">
        <v>0</v>
      </c>
      <c r="BX15" s="29">
        <v>298.56882999999999</v>
      </c>
      <c r="BY15" s="29">
        <v>611.54336999999998</v>
      </c>
      <c r="BZ15" s="29">
        <v>925.32568000000003</v>
      </c>
      <c r="CA15" s="29">
        <v>1255.8620600000002</v>
      </c>
      <c r="CB15" s="29">
        <v>1635.1070099999999</v>
      </c>
      <c r="CC15" s="29">
        <v>1947.127</v>
      </c>
      <c r="CD15" s="29">
        <v>2264.9323899999999</v>
      </c>
      <c r="CE15" s="29">
        <v>2576.43561</v>
      </c>
      <c r="CF15" s="29">
        <v>2905.1918100000003</v>
      </c>
      <c r="CG15" s="29">
        <v>3210.1664700000001</v>
      </c>
      <c r="CH15" s="29">
        <v>3516.2721900000001</v>
      </c>
      <c r="CI15" s="29">
        <v>0</v>
      </c>
      <c r="CJ15" s="29">
        <v>322.93847999999997</v>
      </c>
      <c r="CK15" s="29">
        <v>688.46438000000001</v>
      </c>
      <c r="CL15" s="29">
        <v>1018.11883</v>
      </c>
      <c r="CM15" s="29">
        <f>1298506.34/1000</f>
        <v>1298.5063400000001</v>
      </c>
      <c r="CN15" s="29">
        <f>1594490.15/1000</f>
        <v>1594.4901499999999</v>
      </c>
      <c r="CO15" s="29">
        <f>1892974.2/1000</f>
        <v>1892.9741999999999</v>
      </c>
      <c r="CP15" s="29">
        <f>+VLOOKUP(B15,'[1]Est. Sit. FSDSFPS'!$A$5:$CL$21,90,0)/1000</f>
        <v>2174.5834100000002</v>
      </c>
      <c r="CQ15" s="29">
        <f>2462750.36/1000</f>
        <v>2462.75036</v>
      </c>
      <c r="CR15" s="29">
        <f>2745356.89/1000</f>
        <v>2745.35689</v>
      </c>
      <c r="CS15" s="29">
        <f>3030401.74/1000</f>
        <v>3030.4017400000002</v>
      </c>
      <c r="CT15" s="29">
        <v>3318.4121399999999</v>
      </c>
      <c r="CU15" s="27">
        <v>0</v>
      </c>
      <c r="CV15" s="29">
        <v>116.40177</v>
      </c>
      <c r="CW15" s="29">
        <v>225.11938000000001</v>
      </c>
      <c r="CX15" s="29">
        <v>644.10079000000007</v>
      </c>
      <c r="CY15" s="29">
        <v>741.01525000000004</v>
      </c>
      <c r="CZ15" s="29">
        <v>2106.5202100000001</v>
      </c>
      <c r="DA15" s="29">
        <v>2247.1965499999997</v>
      </c>
      <c r="DB15" s="29">
        <v>3125.6676299999999</v>
      </c>
      <c r="DC15" s="29">
        <v>3749.3579599999998</v>
      </c>
      <c r="DD15" s="29">
        <v>3968.91354</v>
      </c>
      <c r="DE15" s="29">
        <v>6325.0648799999999</v>
      </c>
      <c r="DF15" s="29">
        <v>6488.5337499999996</v>
      </c>
      <c r="DG15" s="27">
        <v>0</v>
      </c>
      <c r="DH15" s="27">
        <v>152.56733</v>
      </c>
      <c r="DI15" s="27">
        <v>379.72628000000003</v>
      </c>
      <c r="DJ15" s="27">
        <v>624.98437999999999</v>
      </c>
      <c r="DK15" s="27">
        <v>895.83451000000002</v>
      </c>
      <c r="DL15" s="27">
        <v>1163.374</v>
      </c>
      <c r="DM15" s="27">
        <v>1449.5461399999999</v>
      </c>
      <c r="DN15" s="27">
        <v>1721.14986</v>
      </c>
    </row>
    <row r="16" spans="2:118" x14ac:dyDescent="0.3">
      <c r="B16" s="39">
        <v>8</v>
      </c>
      <c r="C16" s="40" t="s">
        <v>61</v>
      </c>
      <c r="D16" s="46"/>
      <c r="E16" s="46"/>
      <c r="F16" s="46"/>
      <c r="G16" s="46"/>
      <c r="H16" s="46"/>
      <c r="I16" s="46"/>
      <c r="J16" s="46"/>
      <c r="K16" s="46"/>
      <c r="L16" s="46"/>
      <c r="M16" s="46"/>
      <c r="N16" s="46"/>
      <c r="O16" s="46"/>
      <c r="P16" s="79"/>
      <c r="Q16" s="79"/>
      <c r="R16" s="79"/>
      <c r="S16" s="79"/>
      <c r="T16" s="79"/>
      <c r="U16" s="79"/>
      <c r="V16" s="79"/>
      <c r="W16" s="79"/>
      <c r="X16" s="79"/>
      <c r="Y16" s="79"/>
      <c r="Z16" s="79"/>
      <c r="AA16" s="79"/>
      <c r="AB16" s="79"/>
      <c r="AC16" s="79"/>
      <c r="AD16" s="47"/>
      <c r="AE16" s="47"/>
      <c r="AF16" s="47"/>
      <c r="AG16" s="47"/>
      <c r="AH16" s="47"/>
      <c r="AI16" s="47"/>
      <c r="AJ16" s="32">
        <f>+AJ11+AJ15</f>
        <v>205412.32767999999</v>
      </c>
      <c r="AK16" s="32">
        <v>182042.81221999999</v>
      </c>
      <c r="AL16" s="32">
        <v>214697.93706</v>
      </c>
      <c r="AM16" s="32">
        <v>219179.40200999999</v>
      </c>
      <c r="AN16" s="32">
        <v>218803.5477</v>
      </c>
      <c r="AO16" s="31">
        <v>223186.81998000003</v>
      </c>
      <c r="AP16" s="31">
        <v>267639.00368999998</v>
      </c>
      <c r="AQ16" s="31">
        <v>273616.06558999995</v>
      </c>
      <c r="AR16" s="31">
        <v>278044.48147000006</v>
      </c>
      <c r="AS16" s="31">
        <v>282631.50135999999</v>
      </c>
      <c r="AT16" s="31">
        <v>287787.87251000002</v>
      </c>
      <c r="AU16" s="31">
        <v>292698.57798</v>
      </c>
      <c r="AV16" s="31">
        <v>297534.70806999999</v>
      </c>
      <c r="AW16" s="31">
        <v>302340.45231999998</v>
      </c>
      <c r="AX16" s="31">
        <v>307958.69910000003</v>
      </c>
      <c r="AY16" s="31">
        <v>289778.85935000004</v>
      </c>
      <c r="AZ16" s="31">
        <v>294749.23392999999</v>
      </c>
      <c r="BA16" s="31">
        <v>295253.25417000009</v>
      </c>
      <c r="BB16" s="31">
        <v>305340.84259000001</v>
      </c>
      <c r="BC16" s="31">
        <v>311323.23579000006</v>
      </c>
      <c r="BD16" s="31">
        <v>316258.23069000005</v>
      </c>
      <c r="BE16" s="31">
        <v>321852.78222000005</v>
      </c>
      <c r="BF16" s="31">
        <v>327697.28863999998</v>
      </c>
      <c r="BG16" s="31">
        <v>333357.25896999997</v>
      </c>
      <c r="BH16" s="31">
        <v>339095.76925999997</v>
      </c>
      <c r="BI16" s="31">
        <v>344801.84062999999</v>
      </c>
      <c r="BJ16" s="31">
        <v>345667.06015999999</v>
      </c>
      <c r="BK16" s="31">
        <v>340992.91488000005</v>
      </c>
      <c r="BL16" s="31">
        <v>341876.89763000008</v>
      </c>
      <c r="BM16" s="31">
        <v>347846.23011</v>
      </c>
      <c r="BN16" s="31">
        <v>359258.08490999998</v>
      </c>
      <c r="BO16" s="31">
        <v>360020.62348000001</v>
      </c>
      <c r="BP16" s="31">
        <v>366310.66353000002</v>
      </c>
      <c r="BQ16" s="31">
        <v>372625.54471000005</v>
      </c>
      <c r="BR16" s="31">
        <v>381195.52000000008</v>
      </c>
      <c r="BS16" s="31">
        <v>387985.41721000004</v>
      </c>
      <c r="BT16" s="31">
        <v>395367.18088</v>
      </c>
      <c r="BU16" s="31">
        <v>401231.67413</v>
      </c>
      <c r="BV16" s="31">
        <v>408234.38263999997</v>
      </c>
      <c r="BW16" s="31">
        <v>415042.20556999999</v>
      </c>
      <c r="BX16" s="31">
        <v>415921.07489999989</v>
      </c>
      <c r="BY16" s="31">
        <v>424126.31342000002</v>
      </c>
      <c r="BZ16" s="31">
        <v>436677.99948</v>
      </c>
      <c r="CA16" s="31">
        <v>437978.06578</v>
      </c>
      <c r="CB16" s="31">
        <v>439113.49064999999</v>
      </c>
      <c r="CC16" s="31">
        <v>440015.58002000005</v>
      </c>
      <c r="CD16" s="31">
        <v>461000.66745000001</v>
      </c>
      <c r="CE16" s="31">
        <v>473614.22710000002</v>
      </c>
      <c r="CF16" s="31">
        <v>475321.90139000007</v>
      </c>
      <c r="CG16" s="31">
        <v>488166.70285</v>
      </c>
      <c r="CH16" s="31">
        <v>495741.03969000001</v>
      </c>
      <c r="CI16" s="31">
        <v>500502.36975999997</v>
      </c>
      <c r="CJ16" s="31">
        <v>501465.42926000006</v>
      </c>
      <c r="CK16" s="31">
        <v>502325.42161999998</v>
      </c>
      <c r="CL16" s="31">
        <v>503817.39092000003</v>
      </c>
      <c r="CM16" s="31">
        <f>527632064.51/1000</f>
        <v>527632.06450999994</v>
      </c>
      <c r="CN16" s="31">
        <f>537001235.29/1000</f>
        <v>537001.23528999998</v>
      </c>
      <c r="CO16" s="31">
        <f>551524650.28/1000</f>
        <v>551524.65027999994</v>
      </c>
      <c r="CP16" s="31" t="e">
        <f>+VLOOKUP(B16,'[1]Est. Sit. FSDSFPS'!$A$5:$CL$21,90,0)/1000</f>
        <v>#N/A</v>
      </c>
      <c r="CQ16" s="31">
        <f>572965389.24/1000</f>
        <v>572965.38924000005</v>
      </c>
      <c r="CR16" s="31">
        <f>582140328.38/1000</f>
        <v>582140.32837999996</v>
      </c>
      <c r="CS16" s="31">
        <f>583362827.03/1000</f>
        <v>583362.82702999993</v>
      </c>
      <c r="CT16" s="31">
        <v>600732.92222999991</v>
      </c>
      <c r="CU16" s="31">
        <f>607148364.74/1000</f>
        <v>607148.36473999999</v>
      </c>
      <c r="CV16" s="31">
        <v>614885.59535999992</v>
      </c>
      <c r="CW16" s="31">
        <v>625383.50647999998</v>
      </c>
      <c r="CX16" s="31">
        <v>637373.71083</v>
      </c>
      <c r="CY16" s="31">
        <v>647000.44091</v>
      </c>
      <c r="CZ16" s="31">
        <v>653549.25906000007</v>
      </c>
      <c r="DA16" s="31">
        <v>666087.42660999997</v>
      </c>
      <c r="DB16" s="31">
        <v>680833.48259999999</v>
      </c>
      <c r="DC16" s="31">
        <v>689963.27034000005</v>
      </c>
      <c r="DD16" s="31">
        <v>701845.18241000001</v>
      </c>
      <c r="DE16" s="31">
        <v>716423.43672</v>
      </c>
      <c r="DF16" s="31">
        <v>729164.39532000001</v>
      </c>
      <c r="DG16" s="31">
        <v>735103.72719000001</v>
      </c>
      <c r="DH16" s="31">
        <v>748235.34372</v>
      </c>
      <c r="DI16" s="31">
        <v>760909.74097000004</v>
      </c>
      <c r="DJ16" s="31">
        <v>778048.33371000004</v>
      </c>
      <c r="DK16" s="31">
        <v>792860.39182999998</v>
      </c>
      <c r="DL16" s="31">
        <v>807230.07001000002</v>
      </c>
      <c r="DM16" s="31">
        <v>821550.85274999996</v>
      </c>
      <c r="DN16" s="31">
        <v>835970.44481999998</v>
      </c>
    </row>
    <row r="17" spans="2:118" x14ac:dyDescent="0.3">
      <c r="B17" s="36"/>
      <c r="C17" s="37"/>
      <c r="D17" s="45"/>
      <c r="E17" s="45"/>
      <c r="F17" s="45"/>
      <c r="G17" s="45"/>
      <c r="H17" s="48"/>
      <c r="I17" s="45"/>
      <c r="J17" s="45"/>
      <c r="K17" s="48"/>
      <c r="L17" s="48"/>
      <c r="M17" s="45"/>
      <c r="N17" s="45"/>
      <c r="O17" s="45"/>
      <c r="P17" s="78"/>
      <c r="Q17" s="78"/>
      <c r="R17" s="78"/>
      <c r="S17" s="78"/>
      <c r="T17" s="78"/>
      <c r="U17" s="78"/>
      <c r="V17" s="78"/>
      <c r="W17" s="78"/>
      <c r="X17" s="78"/>
      <c r="Y17" s="78"/>
      <c r="Z17" s="78"/>
      <c r="AA17" s="78"/>
      <c r="AB17" s="78"/>
      <c r="AC17" s="7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7"/>
      <c r="BY17" s="27">
        <v>0</v>
      </c>
      <c r="BZ17" s="27"/>
      <c r="CA17" s="27">
        <v>0</v>
      </c>
      <c r="CB17" s="27"/>
      <c r="CC17" s="27"/>
      <c r="CD17" s="27"/>
      <c r="CE17" s="27">
        <v>0</v>
      </c>
      <c r="CF17" s="27"/>
      <c r="CG17" s="27"/>
      <c r="CH17" s="27"/>
      <c r="CI17" s="27"/>
      <c r="CJ17" s="27"/>
      <c r="CK17" s="27"/>
      <c r="CL17" s="27"/>
      <c r="CM17" s="27"/>
      <c r="CN17" s="27"/>
      <c r="CO17" s="27"/>
      <c r="CP17" s="27"/>
      <c r="CQ17" s="27"/>
      <c r="CR17" s="27"/>
      <c r="CS17" s="27"/>
      <c r="CT17" s="27"/>
      <c r="CV17" s="27"/>
      <c r="CW17" s="27"/>
      <c r="CX17" s="27"/>
      <c r="CY17" s="27"/>
      <c r="CZ17" s="27"/>
      <c r="DA17" s="27"/>
      <c r="DB17" s="27"/>
      <c r="DC17" s="27"/>
      <c r="DD17" s="27"/>
      <c r="DE17" s="27"/>
      <c r="DF17" s="27"/>
      <c r="DG17" s="27"/>
      <c r="DH17" s="27">
        <v>0</v>
      </c>
      <c r="DI17" s="27">
        <v>0</v>
      </c>
      <c r="DJ17" s="27">
        <v>0</v>
      </c>
      <c r="DK17" s="27">
        <v>0</v>
      </c>
      <c r="DL17" s="27">
        <v>0</v>
      </c>
      <c r="DM17" s="27">
        <v>0</v>
      </c>
      <c r="DN17" s="27">
        <v>0</v>
      </c>
    </row>
    <row r="18" spans="2:118" x14ac:dyDescent="0.3">
      <c r="B18" s="36">
        <v>2</v>
      </c>
      <c r="C18" s="37" t="s">
        <v>27</v>
      </c>
      <c r="D18" s="44"/>
      <c r="E18" s="44"/>
      <c r="F18" s="44"/>
      <c r="G18" s="44">
        <v>0</v>
      </c>
      <c r="H18" s="44">
        <v>0</v>
      </c>
      <c r="I18" s="44">
        <v>0.17734</v>
      </c>
      <c r="J18" s="44">
        <v>7.8058399999999999</v>
      </c>
      <c r="K18" s="44">
        <v>0</v>
      </c>
      <c r="L18" s="44">
        <v>0</v>
      </c>
      <c r="M18" s="44">
        <v>0</v>
      </c>
      <c r="N18" s="44">
        <v>1.2</v>
      </c>
      <c r="O18" s="44">
        <v>7.6262400000000001</v>
      </c>
      <c r="P18" s="28">
        <v>3.84918</v>
      </c>
      <c r="Q18" s="28">
        <v>3.1257899999999998</v>
      </c>
      <c r="R18" s="28">
        <v>9.7696500000000004</v>
      </c>
      <c r="S18" s="28">
        <v>0.36660000000000004</v>
      </c>
      <c r="T18" s="28">
        <v>2.93255</v>
      </c>
      <c r="U18" s="28">
        <v>6.4201999999999995</v>
      </c>
      <c r="V18" s="28">
        <v>1.3790799999999999</v>
      </c>
      <c r="W18" s="28">
        <v>1.4987699999999999</v>
      </c>
      <c r="X18" s="28">
        <v>18.774709999999999</v>
      </c>
      <c r="Y18" s="28">
        <v>17.983040000000003</v>
      </c>
      <c r="Z18" s="28">
        <v>21.674160000000001</v>
      </c>
      <c r="AA18" s="28">
        <v>17.820580000000003</v>
      </c>
      <c r="AB18" s="28">
        <v>17.913160000000001</v>
      </c>
      <c r="AC18" s="28">
        <v>26.616139999999998</v>
      </c>
      <c r="AD18" s="28">
        <v>27.145879999999998</v>
      </c>
      <c r="AE18" s="28">
        <v>26.99166</v>
      </c>
      <c r="AF18" s="28">
        <v>28.119049999999998</v>
      </c>
      <c r="AG18" s="28">
        <v>11.293520000000001</v>
      </c>
      <c r="AH18" s="28">
        <v>12.64147</v>
      </c>
      <c r="AI18" s="28">
        <v>1131.8272400000001</v>
      </c>
      <c r="AJ18" s="28">
        <v>49.169429999999998</v>
      </c>
      <c r="AK18" s="28">
        <v>72.233699999999999</v>
      </c>
      <c r="AL18" s="28">
        <v>1488.2033700000002</v>
      </c>
      <c r="AM18" s="28">
        <v>1585.222</v>
      </c>
      <c r="AN18" s="28">
        <v>1517.9324799999999</v>
      </c>
      <c r="AO18" s="28">
        <v>1561.5328300000001</v>
      </c>
      <c r="AP18" s="28">
        <v>1723.1392499999999</v>
      </c>
      <c r="AQ18" s="28">
        <v>3092.5752499999999</v>
      </c>
      <c r="AR18" s="28">
        <v>3225.2891400000003</v>
      </c>
      <c r="AS18" s="28">
        <v>3126.4000899999996</v>
      </c>
      <c r="AT18" s="28">
        <v>3109.2584300000003</v>
      </c>
      <c r="AU18" s="28">
        <v>3259.16075</v>
      </c>
      <c r="AV18" s="28">
        <v>3247.3233</v>
      </c>
      <c r="AW18" s="28">
        <v>3245.8827200000001</v>
      </c>
      <c r="AX18" s="28">
        <v>3992.5230999999999</v>
      </c>
      <c r="AY18" s="28">
        <v>3631.96819</v>
      </c>
      <c r="AZ18" s="28">
        <v>3291.6977000000002</v>
      </c>
      <c r="BA18" s="28">
        <v>3360.2622900000001</v>
      </c>
      <c r="BB18" s="28">
        <v>3408.1468100000002</v>
      </c>
      <c r="BC18" s="28">
        <v>4036.7000400000002</v>
      </c>
      <c r="BD18" s="28">
        <v>3425.2840899999997</v>
      </c>
      <c r="BE18" s="28">
        <v>3923.6969199999999</v>
      </c>
      <c r="BF18" s="28">
        <v>3955.68768</v>
      </c>
      <c r="BG18" s="28">
        <v>3934.4691600000001</v>
      </c>
      <c r="BH18" s="28">
        <v>3935.6748199999997</v>
      </c>
      <c r="BI18" s="28">
        <v>3928.7081699999999</v>
      </c>
      <c r="BJ18" s="28">
        <v>3948.5630799999999</v>
      </c>
      <c r="BK18" s="28">
        <v>3892.0392200000001</v>
      </c>
      <c r="BL18" s="28">
        <v>3777.0614300000002</v>
      </c>
      <c r="BM18" s="28">
        <v>3785.1839399999999</v>
      </c>
      <c r="BN18" s="28">
        <v>3693.5340999999999</v>
      </c>
      <c r="BO18" s="28">
        <v>3699.54774</v>
      </c>
      <c r="BP18" s="28">
        <v>3700.7186200000001</v>
      </c>
      <c r="BQ18" s="28">
        <v>3700.4419900000003</v>
      </c>
      <c r="BR18" s="28">
        <v>5588.0924100000002</v>
      </c>
      <c r="BS18" s="28">
        <v>5723.1385999999993</v>
      </c>
      <c r="BT18" s="28">
        <v>4990.2311799999998</v>
      </c>
      <c r="BU18" s="28">
        <v>4029.0482200000001</v>
      </c>
      <c r="BV18" s="28">
        <v>4030.60151</v>
      </c>
      <c r="BW18" s="28">
        <v>3276.3531400000002</v>
      </c>
      <c r="BX18" s="27">
        <v>3249.5826299999999</v>
      </c>
      <c r="BY18" s="27">
        <v>4289.9660599999997</v>
      </c>
      <c r="BZ18" s="27">
        <v>3534.9886900000001</v>
      </c>
      <c r="CA18" s="27">
        <v>3533.4983399999996</v>
      </c>
      <c r="CB18" s="27">
        <v>3775.8538399999998</v>
      </c>
      <c r="CC18" s="27">
        <v>3857.9837799999996</v>
      </c>
      <c r="CD18" s="27">
        <v>4384.9396799999995</v>
      </c>
      <c r="CE18" s="27">
        <v>4694.0413099999996</v>
      </c>
      <c r="CF18" s="27">
        <v>4625.1019200000001</v>
      </c>
      <c r="CG18" s="27">
        <v>4600.5766700000004</v>
      </c>
      <c r="CH18" s="27">
        <v>3843.4642899999999</v>
      </c>
      <c r="CI18" s="27">
        <v>4255.88256</v>
      </c>
      <c r="CJ18" s="27">
        <v>4261.5324099999998</v>
      </c>
      <c r="CK18" s="27">
        <v>4215.9355300000007</v>
      </c>
      <c r="CL18" s="27">
        <v>4139.7677899999999</v>
      </c>
      <c r="CM18" s="27">
        <f>4441400.5/1000</f>
        <v>4441.4004999999997</v>
      </c>
      <c r="CN18" s="27">
        <f>4749474.52/1000</f>
        <v>4749.4745199999998</v>
      </c>
      <c r="CO18" s="27">
        <f>3847705.59/1000</f>
        <v>3847.70559</v>
      </c>
      <c r="CP18" s="27">
        <f>+VLOOKUP(B18,'[1]Est. Sit. FSDSFPS'!$A$5:$CL$21,90,0)/1000</f>
        <v>3840.3695600000001</v>
      </c>
      <c r="CQ18" s="27">
        <f>3850290.52/1000</f>
        <v>3850.29052</v>
      </c>
      <c r="CR18" s="27">
        <f>3853428.83/1000</f>
        <v>3853.4288300000003</v>
      </c>
      <c r="CS18" s="27">
        <f>3878416.84/1000</f>
        <v>3878.4168399999999</v>
      </c>
      <c r="CT18" s="27">
        <v>3194.05584</v>
      </c>
      <c r="CU18" s="27">
        <f>3331504.8/1000</f>
        <v>3331.5047999999997</v>
      </c>
      <c r="CV18" s="27">
        <v>3301.0373399999999</v>
      </c>
      <c r="CW18" s="27">
        <v>3300.21119</v>
      </c>
      <c r="CX18" s="27">
        <v>3311.4629799999998</v>
      </c>
      <c r="CY18" s="27">
        <v>3269.8392899999999</v>
      </c>
      <c r="CZ18" s="27">
        <v>3288.35565</v>
      </c>
      <c r="DA18" s="27">
        <v>3277.87653</v>
      </c>
      <c r="DB18" s="27">
        <v>4070.96765</v>
      </c>
      <c r="DC18" s="27">
        <v>3148.3736099999996</v>
      </c>
      <c r="DD18" s="27">
        <v>3036.2072000000003</v>
      </c>
      <c r="DE18" s="27">
        <v>3108.3828599999997</v>
      </c>
      <c r="DF18" s="27">
        <v>3009.9767299999999</v>
      </c>
      <c r="DG18" s="27">
        <v>2954.01901</v>
      </c>
      <c r="DH18" s="27">
        <v>2906.7892000000002</v>
      </c>
      <c r="DI18" s="27">
        <v>4144.366</v>
      </c>
      <c r="DJ18" s="27">
        <v>3790.9677499999998</v>
      </c>
      <c r="DK18" s="27">
        <v>3760.9870799999999</v>
      </c>
      <c r="DL18" s="27">
        <v>3315.8494700000001</v>
      </c>
      <c r="DM18" s="27">
        <v>2873.30141</v>
      </c>
      <c r="DN18" s="27">
        <v>2890.3014900000003</v>
      </c>
    </row>
    <row r="19" spans="2:118" x14ac:dyDescent="0.3">
      <c r="B19" s="36" t="s">
        <v>28</v>
      </c>
      <c r="C19" s="38" t="s">
        <v>32</v>
      </c>
      <c r="D19" s="49"/>
      <c r="E19" s="49"/>
      <c r="F19" s="49"/>
      <c r="G19" s="49">
        <v>0</v>
      </c>
      <c r="H19" s="49">
        <v>0</v>
      </c>
      <c r="I19" s="49">
        <v>0.17734</v>
      </c>
      <c r="J19" s="49">
        <v>7.8058399999999999</v>
      </c>
      <c r="K19" s="49">
        <v>0</v>
      </c>
      <c r="L19" s="49">
        <v>0</v>
      </c>
      <c r="M19" s="49">
        <v>0</v>
      </c>
      <c r="N19" s="49">
        <v>1.2</v>
      </c>
      <c r="O19" s="49">
        <v>7.6262400000000001</v>
      </c>
      <c r="P19" s="80">
        <v>3.84918</v>
      </c>
      <c r="Q19" s="80">
        <v>3.1257899999999998</v>
      </c>
      <c r="R19" s="80">
        <v>9.7696500000000004</v>
      </c>
      <c r="S19" s="80">
        <v>0.36660000000000004</v>
      </c>
      <c r="T19" s="80">
        <v>2.93255</v>
      </c>
      <c r="U19" s="80">
        <v>6.4201999999999995</v>
      </c>
      <c r="V19" s="80">
        <v>1.3790799999999999</v>
      </c>
      <c r="W19" s="80">
        <v>1.4987699999999999</v>
      </c>
      <c r="X19" s="80">
        <v>0.95465</v>
      </c>
      <c r="Y19" s="80">
        <v>0.16297999999999999</v>
      </c>
      <c r="Z19" s="80">
        <v>3.8540999999999999</v>
      </c>
      <c r="AA19" s="80">
        <v>5.2000000000000006E-4</v>
      </c>
      <c r="AB19" s="80">
        <v>9.3099999999999988E-2</v>
      </c>
      <c r="AC19" s="80">
        <v>8.7960799999999999</v>
      </c>
      <c r="AD19" s="30">
        <v>9.3103799999999985</v>
      </c>
      <c r="AE19" s="30">
        <v>9.1561599999999999</v>
      </c>
      <c r="AF19" s="30">
        <v>10.28355</v>
      </c>
      <c r="AG19" s="30">
        <v>11.293520000000001</v>
      </c>
      <c r="AH19" s="30">
        <v>12.64147</v>
      </c>
      <c r="AI19" s="30">
        <v>1131.8272400000001</v>
      </c>
      <c r="AJ19" s="30">
        <v>49.169429999999998</v>
      </c>
      <c r="AK19" s="30">
        <v>72.233699999999999</v>
      </c>
      <c r="AL19" s="30">
        <v>1488.2033700000002</v>
      </c>
      <c r="AM19" s="30">
        <v>1585.222</v>
      </c>
      <c r="AN19" s="30">
        <v>1517.9324799999999</v>
      </c>
      <c r="AO19" s="30">
        <v>1561.5328300000001</v>
      </c>
      <c r="AP19" s="30">
        <v>1723.1392499999999</v>
      </c>
      <c r="AQ19" s="30">
        <v>3092.5752499999999</v>
      </c>
      <c r="AR19" s="30">
        <v>3225.2891400000003</v>
      </c>
      <c r="AS19" s="30">
        <v>3126.4000899999996</v>
      </c>
      <c r="AT19" s="30">
        <v>3109.2584300000003</v>
      </c>
      <c r="AU19" s="30">
        <v>3259.16075</v>
      </c>
      <c r="AV19" s="30">
        <v>3247.3233</v>
      </c>
      <c r="AW19" s="30">
        <v>3245.8827200000001</v>
      </c>
      <c r="AX19" s="30">
        <v>3992.5230999999999</v>
      </c>
      <c r="AY19" s="30">
        <v>3631.96819</v>
      </c>
      <c r="AZ19" s="30">
        <v>3291.6977000000002</v>
      </c>
      <c r="BA19" s="30">
        <v>3360.2622900000001</v>
      </c>
      <c r="BB19" s="30">
        <v>3408.1468100000002</v>
      </c>
      <c r="BC19" s="30">
        <v>4036.7000400000002</v>
      </c>
      <c r="BD19" s="30">
        <v>3425.2840899999997</v>
      </c>
      <c r="BE19" s="30">
        <v>3923.6969199999999</v>
      </c>
      <c r="BF19" s="30">
        <v>3955.68768</v>
      </c>
      <c r="BG19" s="30">
        <v>3934.4691600000001</v>
      </c>
      <c r="BH19" s="30">
        <v>3935.6748199999997</v>
      </c>
      <c r="BI19" s="30">
        <v>3928.7081699999999</v>
      </c>
      <c r="BJ19" s="30">
        <v>3948.5630799999999</v>
      </c>
      <c r="BK19" s="30">
        <v>3892.0392200000001</v>
      </c>
      <c r="BL19" s="30">
        <v>3777.0614300000002</v>
      </c>
      <c r="BM19" s="30">
        <v>3785.1839399999999</v>
      </c>
      <c r="BN19" s="30">
        <v>3693.5340999999999</v>
      </c>
      <c r="BO19" s="30">
        <v>3699.54774</v>
      </c>
      <c r="BP19" s="30">
        <v>3700.7186200000001</v>
      </c>
      <c r="BQ19" s="30">
        <v>3700.4419900000003</v>
      </c>
      <c r="BR19" s="30">
        <v>5588.0924100000002</v>
      </c>
      <c r="BS19" s="30">
        <v>5723.1385999999993</v>
      </c>
      <c r="BT19" s="30">
        <v>4990.2311799999998</v>
      </c>
      <c r="BU19" s="30">
        <v>4029.0482200000001</v>
      </c>
      <c r="BV19" s="30">
        <v>4030.60151</v>
      </c>
      <c r="BW19" s="30">
        <v>3276.3531400000002</v>
      </c>
      <c r="BX19" s="29">
        <v>3249.5826299999999</v>
      </c>
      <c r="BY19" s="29">
        <v>4289.9660599999997</v>
      </c>
      <c r="BZ19" s="29">
        <v>3534.9886900000001</v>
      </c>
      <c r="CA19" s="29">
        <v>3533.4983399999996</v>
      </c>
      <c r="CB19" s="29">
        <v>3775.8538399999998</v>
      </c>
      <c r="CC19" s="29">
        <v>3857.9837799999996</v>
      </c>
      <c r="CD19" s="29">
        <v>4384.9396799999995</v>
      </c>
      <c r="CE19" s="29">
        <v>4694.0413099999996</v>
      </c>
      <c r="CF19" s="29">
        <v>4625.1019200000001</v>
      </c>
      <c r="CG19" s="29">
        <v>4600.5766700000004</v>
      </c>
      <c r="CH19" s="29">
        <v>3843.4642899999999</v>
      </c>
      <c r="CI19" s="29">
        <v>4255.88256</v>
      </c>
      <c r="CJ19" s="29">
        <v>4261.5324099999998</v>
      </c>
      <c r="CK19" s="29">
        <v>4215.9355300000007</v>
      </c>
      <c r="CL19" s="29">
        <v>4139.7677899999999</v>
      </c>
      <c r="CM19" s="29">
        <f>4441400.5/1000</f>
        <v>4441.4004999999997</v>
      </c>
      <c r="CN19" s="29">
        <f>4749474.52/1000</f>
        <v>4749.4745199999998</v>
      </c>
      <c r="CO19" s="29">
        <f>3847705.59/1000</f>
        <v>3847.70559</v>
      </c>
      <c r="CP19" s="29">
        <f>+VLOOKUP(B19,'[1]Est. Sit. FSDSFPS'!$A$5:$CL$21,90,0)/1000</f>
        <v>3840.3695600000001</v>
      </c>
      <c r="CQ19" s="29">
        <f>3850290.52/1000</f>
        <v>3850.29052</v>
      </c>
      <c r="CR19" s="29">
        <f>3853428.83/1000</f>
        <v>3853.4288300000003</v>
      </c>
      <c r="CS19" s="29">
        <f>3878416.84/1000</f>
        <v>3878.4168399999999</v>
      </c>
      <c r="CT19" s="29">
        <v>3194.05584</v>
      </c>
      <c r="CU19" s="27">
        <f>3331504.8/1000</f>
        <v>3331.5047999999997</v>
      </c>
      <c r="CV19" s="29">
        <v>3301.0373399999999</v>
      </c>
      <c r="CW19" s="29">
        <v>3300.21119</v>
      </c>
      <c r="CX19" s="29">
        <v>3311.4629799999998</v>
      </c>
      <c r="CY19" s="29">
        <v>3269.8392899999999</v>
      </c>
      <c r="CZ19" s="29">
        <v>3288.35565</v>
      </c>
      <c r="DA19" s="29">
        <v>3277.87653</v>
      </c>
      <c r="DB19" s="29">
        <v>4070.96765</v>
      </c>
      <c r="DC19" s="29">
        <v>3148.3736099999996</v>
      </c>
      <c r="DD19" s="29">
        <v>3036.2072000000003</v>
      </c>
      <c r="DE19" s="29">
        <v>3108.3828599999997</v>
      </c>
      <c r="DF19" s="29">
        <v>3009.9767299999999</v>
      </c>
      <c r="DG19" s="29">
        <v>2954.01901</v>
      </c>
      <c r="DH19" s="29">
        <v>2906.7892000000002</v>
      </c>
      <c r="DI19" s="29">
        <v>4144.366</v>
      </c>
      <c r="DJ19" s="29">
        <v>3790.9677499999998</v>
      </c>
      <c r="DK19" s="29">
        <v>3760.9870799999999</v>
      </c>
      <c r="DL19" s="29">
        <v>3315.8494700000001</v>
      </c>
      <c r="DM19" s="29">
        <v>2873.30141</v>
      </c>
      <c r="DN19" s="29">
        <v>2890.3014900000003</v>
      </c>
    </row>
    <row r="20" spans="2:118" x14ac:dyDescent="0.3">
      <c r="B20" s="36" t="s">
        <v>29</v>
      </c>
      <c r="C20" s="38" t="s">
        <v>30</v>
      </c>
      <c r="D20" s="49"/>
      <c r="E20" s="49"/>
      <c r="F20" s="49"/>
      <c r="G20" s="49">
        <v>0</v>
      </c>
      <c r="H20" s="49">
        <v>0</v>
      </c>
      <c r="I20" s="49">
        <v>0</v>
      </c>
      <c r="J20" s="49">
        <v>0</v>
      </c>
      <c r="K20" s="49">
        <v>0</v>
      </c>
      <c r="L20" s="49">
        <v>0</v>
      </c>
      <c r="M20" s="49">
        <v>0</v>
      </c>
      <c r="N20" s="50">
        <v>0</v>
      </c>
      <c r="O20" s="49">
        <v>0</v>
      </c>
      <c r="P20" s="80">
        <v>0</v>
      </c>
      <c r="Q20" s="80">
        <v>0</v>
      </c>
      <c r="R20" s="80">
        <v>0</v>
      </c>
      <c r="S20" s="80">
        <v>0</v>
      </c>
      <c r="T20" s="80">
        <v>0</v>
      </c>
      <c r="U20" s="80">
        <v>0</v>
      </c>
      <c r="V20" s="80">
        <v>0</v>
      </c>
      <c r="W20" s="80">
        <v>0</v>
      </c>
      <c r="X20" s="80">
        <v>17.820060000000002</v>
      </c>
      <c r="Y20" s="80">
        <v>17.820060000000002</v>
      </c>
      <c r="Z20" s="80">
        <v>17.820060000000002</v>
      </c>
      <c r="AA20" s="80">
        <v>17.820060000000002</v>
      </c>
      <c r="AB20" s="80">
        <v>17.820060000000002</v>
      </c>
      <c r="AC20" s="80">
        <v>17.820060000000002</v>
      </c>
      <c r="AD20" s="30">
        <v>17.8355</v>
      </c>
      <c r="AE20" s="30">
        <v>17.8355</v>
      </c>
      <c r="AF20" s="30">
        <v>17.8355</v>
      </c>
      <c r="AG20" s="30">
        <v>0</v>
      </c>
      <c r="AH20" s="30">
        <v>0</v>
      </c>
      <c r="AI20" s="30">
        <v>0</v>
      </c>
      <c r="AJ20" s="30">
        <v>0</v>
      </c>
      <c r="AK20" s="30">
        <v>0</v>
      </c>
      <c r="AL20" s="30">
        <v>0</v>
      </c>
      <c r="AM20" s="30">
        <v>0</v>
      </c>
      <c r="AN20" s="30">
        <v>0</v>
      </c>
      <c r="AO20" s="30">
        <v>0</v>
      </c>
      <c r="AP20" s="30">
        <v>0</v>
      </c>
      <c r="AQ20" s="30">
        <v>0</v>
      </c>
      <c r="AR20" s="30">
        <v>0</v>
      </c>
      <c r="AS20" s="30">
        <v>0</v>
      </c>
      <c r="AT20" s="30">
        <v>0</v>
      </c>
      <c r="AU20" s="30">
        <v>0</v>
      </c>
      <c r="AV20" s="30">
        <v>0</v>
      </c>
      <c r="AW20" s="30">
        <v>0</v>
      </c>
      <c r="AX20" s="30">
        <v>0</v>
      </c>
      <c r="AY20" s="30">
        <v>0</v>
      </c>
      <c r="AZ20" s="30">
        <v>0</v>
      </c>
      <c r="BA20" s="30">
        <v>0</v>
      </c>
      <c r="BB20" s="30">
        <v>0</v>
      </c>
      <c r="BC20" s="30">
        <v>0</v>
      </c>
      <c r="BD20" s="30">
        <v>0</v>
      </c>
      <c r="BE20" s="30">
        <v>0</v>
      </c>
      <c r="BF20" s="30">
        <v>0</v>
      </c>
      <c r="BG20" s="30">
        <v>0</v>
      </c>
      <c r="BH20" s="30">
        <v>0</v>
      </c>
      <c r="BI20" s="30">
        <v>0</v>
      </c>
      <c r="BJ20" s="30">
        <v>0</v>
      </c>
      <c r="BK20" s="30">
        <v>0</v>
      </c>
      <c r="BL20" s="30">
        <v>0</v>
      </c>
      <c r="BM20" s="30">
        <v>0</v>
      </c>
      <c r="BN20" s="30">
        <v>0</v>
      </c>
      <c r="BO20" s="30">
        <v>0</v>
      </c>
      <c r="BP20" s="30">
        <v>0</v>
      </c>
      <c r="BQ20" s="30">
        <v>0</v>
      </c>
      <c r="BR20" s="30">
        <v>0</v>
      </c>
      <c r="BS20" s="30">
        <v>0</v>
      </c>
      <c r="BT20" s="30">
        <v>0</v>
      </c>
      <c r="BU20" s="30">
        <v>0</v>
      </c>
      <c r="BV20" s="30">
        <v>0</v>
      </c>
      <c r="BW20" s="30">
        <v>0</v>
      </c>
      <c r="BX20" s="34">
        <v>0</v>
      </c>
      <c r="BY20" s="34">
        <v>0</v>
      </c>
      <c r="BZ20" s="34">
        <v>0</v>
      </c>
      <c r="CA20" s="34">
        <v>0</v>
      </c>
      <c r="CB20" s="34">
        <v>0</v>
      </c>
      <c r="CC20" s="34">
        <v>0</v>
      </c>
      <c r="CD20" s="34">
        <v>0</v>
      </c>
      <c r="CE20" s="34">
        <v>0</v>
      </c>
      <c r="CF20" s="34">
        <v>0</v>
      </c>
      <c r="CG20" s="34">
        <v>0</v>
      </c>
      <c r="CH20" s="34">
        <v>0</v>
      </c>
      <c r="CI20" s="34">
        <v>0</v>
      </c>
      <c r="CJ20" s="34">
        <v>0</v>
      </c>
      <c r="CK20" s="34">
        <v>0</v>
      </c>
      <c r="CL20" s="34">
        <v>0</v>
      </c>
      <c r="CM20" s="34">
        <v>0</v>
      </c>
      <c r="CN20" s="29">
        <v>0</v>
      </c>
      <c r="CO20" s="29">
        <v>0</v>
      </c>
      <c r="CP20" s="27">
        <f>+VLOOKUP(B20,'[1]Est. Sit. FSDSFPS'!$A$5:$CL$21,90,0)/1000</f>
        <v>0</v>
      </c>
      <c r="CQ20" s="27">
        <v>0</v>
      </c>
      <c r="CR20" s="27">
        <v>0</v>
      </c>
      <c r="CS20" s="27">
        <v>0</v>
      </c>
      <c r="CT20" s="27">
        <v>0</v>
      </c>
      <c r="CU20" s="27">
        <v>0</v>
      </c>
      <c r="CV20" s="27">
        <v>0</v>
      </c>
      <c r="CW20" s="27">
        <v>0</v>
      </c>
      <c r="CX20" s="27">
        <v>0</v>
      </c>
      <c r="CY20" s="27">
        <v>0</v>
      </c>
      <c r="CZ20" s="27">
        <v>0</v>
      </c>
      <c r="DA20" s="27">
        <v>0</v>
      </c>
      <c r="DB20" s="27">
        <v>0</v>
      </c>
      <c r="DC20" s="27">
        <v>0</v>
      </c>
      <c r="DD20" s="27">
        <v>0</v>
      </c>
      <c r="DE20" s="27">
        <v>0</v>
      </c>
      <c r="DF20" s="27">
        <v>0</v>
      </c>
      <c r="DG20" s="27">
        <v>0</v>
      </c>
      <c r="DH20" s="27">
        <v>0</v>
      </c>
      <c r="DI20" s="27">
        <v>0</v>
      </c>
      <c r="DJ20" s="27">
        <v>0</v>
      </c>
      <c r="DK20" s="27">
        <v>0</v>
      </c>
      <c r="DL20" s="27">
        <v>0</v>
      </c>
      <c r="DM20" s="27">
        <v>0</v>
      </c>
      <c r="DN20" s="27">
        <v>0</v>
      </c>
    </row>
    <row r="21" spans="2:118" x14ac:dyDescent="0.3">
      <c r="B21" s="36">
        <v>5</v>
      </c>
      <c r="C21" s="38" t="s">
        <v>56</v>
      </c>
      <c r="D21" s="49"/>
      <c r="E21" s="49"/>
      <c r="F21" s="49"/>
      <c r="G21" s="49"/>
      <c r="H21" s="49"/>
      <c r="I21" s="49"/>
      <c r="J21" s="49"/>
      <c r="K21" s="49"/>
      <c r="L21" s="49"/>
      <c r="M21" s="49"/>
      <c r="N21" s="50"/>
      <c r="O21" s="49"/>
      <c r="P21" s="80"/>
      <c r="Q21" s="80"/>
      <c r="R21" s="80"/>
      <c r="S21" s="80"/>
      <c r="T21" s="80"/>
      <c r="U21" s="80"/>
      <c r="V21" s="80"/>
      <c r="W21" s="80"/>
      <c r="X21" s="80"/>
      <c r="Y21" s="80"/>
      <c r="Z21" s="80"/>
      <c r="AA21" s="80"/>
      <c r="AB21" s="80"/>
      <c r="AC21" s="80"/>
      <c r="AD21" s="30"/>
      <c r="AE21" s="30"/>
      <c r="AF21" s="30"/>
      <c r="AG21" s="30"/>
      <c r="AH21" s="30"/>
      <c r="AI21" s="30"/>
      <c r="AJ21" s="30">
        <v>417.87905000000001</v>
      </c>
      <c r="AK21" s="30">
        <v>670.90152</v>
      </c>
      <c r="AL21" s="30">
        <v>911.03995999999995</v>
      </c>
      <c r="AM21" s="30">
        <v>767.07493999999997</v>
      </c>
      <c r="AN21" s="30">
        <v>255.53632000000002</v>
      </c>
      <c r="AO21" s="30">
        <v>519.50472000000002</v>
      </c>
      <c r="AP21" s="30">
        <v>934.16277000000002</v>
      </c>
      <c r="AQ21" s="30">
        <v>1375.51026</v>
      </c>
      <c r="AR21" s="30">
        <v>1831.1606299999999</v>
      </c>
      <c r="AS21" s="30">
        <v>2274.6641600000003</v>
      </c>
      <c r="AT21" s="30">
        <v>2720.7770699999996</v>
      </c>
      <c r="AU21" s="30">
        <v>3141.4008900000003</v>
      </c>
      <c r="AV21" s="30">
        <v>3571.0389500000001</v>
      </c>
      <c r="AW21" s="30">
        <v>4048.9977599999997</v>
      </c>
      <c r="AX21" s="30">
        <v>4517.2834299999995</v>
      </c>
      <c r="AY21" s="30">
        <v>0</v>
      </c>
      <c r="AZ21" s="30">
        <v>461.89706999999999</v>
      </c>
      <c r="BA21" s="30">
        <v>897.35271999999998</v>
      </c>
      <c r="BB21" s="30">
        <v>1352.24883</v>
      </c>
      <c r="BC21" s="30">
        <v>1793.5302099999999</v>
      </c>
      <c r="BD21" s="30">
        <v>2249.5070000000001</v>
      </c>
      <c r="BE21" s="30">
        <v>2729.0216099999998</v>
      </c>
      <c r="BF21" s="30">
        <v>3202.6990299999998</v>
      </c>
      <c r="BG21" s="30">
        <v>3725.3637200000003</v>
      </c>
      <c r="BH21" s="30">
        <v>4188.2555199999997</v>
      </c>
      <c r="BI21" s="30">
        <v>4665.9046600000001</v>
      </c>
      <c r="BJ21" s="30">
        <v>5159.2421299999996</v>
      </c>
      <c r="BK21" s="30"/>
      <c r="BL21" s="30">
        <v>537.90931</v>
      </c>
      <c r="BM21" s="30">
        <v>1121.1113300000002</v>
      </c>
      <c r="BN21" s="30">
        <v>1714.16445</v>
      </c>
      <c r="BO21" s="30">
        <v>2328.3182499999998</v>
      </c>
      <c r="BP21" s="30">
        <v>2966.3673599999997</v>
      </c>
      <c r="BQ21" s="30">
        <v>3602.4689100000001</v>
      </c>
      <c r="BR21" s="30">
        <v>4261.5509599999996</v>
      </c>
      <c r="BS21" s="30">
        <v>4918.6568399999996</v>
      </c>
      <c r="BT21" s="30">
        <v>7201.85916</v>
      </c>
      <c r="BU21" s="30">
        <v>7967.0337800000007</v>
      </c>
      <c r="BV21" s="30">
        <v>8594.7243699999999</v>
      </c>
      <c r="BW21" s="30">
        <v>0</v>
      </c>
      <c r="BX21" s="29">
        <v>725.33104000000003</v>
      </c>
      <c r="BY21" s="29">
        <v>1608.6776599999998</v>
      </c>
      <c r="BZ21" s="29">
        <v>2475.1559400000001</v>
      </c>
      <c r="CA21" s="29">
        <v>3419.9531100000004</v>
      </c>
      <c r="CB21" s="29">
        <v>4313.0224800000005</v>
      </c>
      <c r="CC21" s="29">
        <v>5132.9819100000004</v>
      </c>
      <c r="CD21" s="29">
        <v>5787.7685300000003</v>
      </c>
      <c r="CE21" s="29">
        <v>6642.9522200000001</v>
      </c>
      <c r="CF21" s="29">
        <v>7700.54846</v>
      </c>
      <c r="CG21" s="29">
        <v>8509.0429499999991</v>
      </c>
      <c r="CH21" s="29">
        <v>9353.4072899999992</v>
      </c>
      <c r="CI21" s="29">
        <v>0</v>
      </c>
      <c r="CJ21" s="29">
        <v>957.40965000000006</v>
      </c>
      <c r="CK21" s="29">
        <v>1862.9988899999998</v>
      </c>
      <c r="CL21" s="29">
        <v>2934.2992599999998</v>
      </c>
      <c r="CM21" s="29">
        <f>3940833.88/1000</f>
        <v>3940.8338799999997</v>
      </c>
      <c r="CN21" s="29">
        <f>4967515.85/1000</f>
        <v>4967.5158499999998</v>
      </c>
      <c r="CO21" s="29">
        <f>5973979.96/1000</f>
        <v>5973.9799599999997</v>
      </c>
      <c r="CP21" s="29">
        <f>+VLOOKUP(B21,'[1]Est. Sit. FSDSFPS'!$A$5:$CL$21,90,0)/1000</f>
        <v>7064.6535300000005</v>
      </c>
      <c r="CQ21" s="29">
        <f>9483594.55/1000</f>
        <v>9483.5945500000016</v>
      </c>
      <c r="CR21" s="29">
        <f>10570412.53/1000</f>
        <v>10570.41253</v>
      </c>
      <c r="CS21" s="29">
        <f>11692239.81/1000</f>
        <v>11692.239810000001</v>
      </c>
      <c r="CT21" s="29">
        <v>12781.40576</v>
      </c>
      <c r="CU21" s="27">
        <v>0</v>
      </c>
      <c r="CV21" s="29">
        <v>1141.8793999999998</v>
      </c>
      <c r="CW21" s="29">
        <v>2152.2037999999998</v>
      </c>
      <c r="CX21" s="29">
        <v>3205.2339300000003</v>
      </c>
      <c r="CY21" s="29">
        <v>4151.2712799999999</v>
      </c>
      <c r="CZ21" s="29">
        <v>5472.46065</v>
      </c>
      <c r="DA21" s="29">
        <v>6873.0000700000001</v>
      </c>
      <c r="DB21" s="29">
        <v>8358.2814899999994</v>
      </c>
      <c r="DC21" s="29">
        <v>10050.51497</v>
      </c>
      <c r="DD21" s="29">
        <v>11827.719550000002</v>
      </c>
      <c r="DE21" s="29">
        <f>13802431.07/1000</f>
        <v>13802.431070000001</v>
      </c>
      <c r="DF21" s="29">
        <v>16046.914640000001</v>
      </c>
      <c r="DG21" s="27">
        <v>0</v>
      </c>
      <c r="DH21" s="27">
        <v>3122.5228700000002</v>
      </c>
      <c r="DI21" s="27">
        <v>6386.3190800000002</v>
      </c>
      <c r="DJ21" s="27">
        <v>10707.143550000001</v>
      </c>
      <c r="DK21" s="27">
        <v>14842.638000000001</v>
      </c>
      <c r="DL21" s="27">
        <v>18814.676829999997</v>
      </c>
      <c r="DM21" s="27">
        <v>22615.924260000003</v>
      </c>
      <c r="DN21" s="27">
        <v>26575.980190000002</v>
      </c>
    </row>
    <row r="22" spans="2:118" x14ac:dyDescent="0.3">
      <c r="B22" s="36"/>
      <c r="C22" s="37"/>
      <c r="D22" s="45"/>
      <c r="E22" s="45"/>
      <c r="F22" s="45"/>
      <c r="G22" s="45"/>
      <c r="H22" s="45"/>
      <c r="I22" s="45"/>
      <c r="J22" s="45"/>
      <c r="K22" s="45"/>
      <c r="L22" s="45"/>
      <c r="M22" s="45"/>
      <c r="N22" s="48"/>
      <c r="O22" s="45"/>
      <c r="P22" s="78"/>
      <c r="Q22" s="78"/>
      <c r="R22" s="78"/>
      <c r="S22" s="78"/>
      <c r="T22" s="78"/>
      <c r="U22" s="78"/>
      <c r="V22" s="78"/>
      <c r="W22" s="78"/>
      <c r="X22" s="78"/>
      <c r="Y22" s="78"/>
      <c r="Z22" s="78"/>
      <c r="AA22" s="78"/>
      <c r="AB22" s="78"/>
      <c r="AC22" s="78">
        <v>0</v>
      </c>
      <c r="AD22" s="28">
        <v>0</v>
      </c>
      <c r="AE22" s="28">
        <v>0</v>
      </c>
      <c r="AF22" s="28">
        <v>0</v>
      </c>
      <c r="AG22" s="28">
        <v>0</v>
      </c>
      <c r="AH22" s="28">
        <v>0</v>
      </c>
      <c r="AI22" s="28">
        <v>0</v>
      </c>
      <c r="AJ22" s="28">
        <v>0</v>
      </c>
      <c r="AK22" s="28">
        <v>0</v>
      </c>
      <c r="AL22" s="28">
        <v>0</v>
      </c>
      <c r="AM22" s="28">
        <v>0</v>
      </c>
      <c r="AN22" s="28">
        <v>0</v>
      </c>
      <c r="AO22" s="28"/>
      <c r="AP22" s="28"/>
      <c r="AQ22" s="28"/>
      <c r="AR22" s="28"/>
      <c r="AS22" s="28">
        <v>0</v>
      </c>
      <c r="AT22" s="28">
        <v>0</v>
      </c>
      <c r="AU22" s="28">
        <v>0</v>
      </c>
      <c r="AV22" s="28">
        <v>0</v>
      </c>
      <c r="AW22" s="28">
        <v>0</v>
      </c>
      <c r="AX22" s="28">
        <v>0</v>
      </c>
      <c r="AY22" s="28">
        <v>0</v>
      </c>
      <c r="AZ22" s="28">
        <v>0</v>
      </c>
      <c r="BA22" s="28">
        <v>0</v>
      </c>
      <c r="BB22" s="28"/>
      <c r="BC22" s="28"/>
      <c r="BD22" s="28"/>
      <c r="BE22" s="28"/>
      <c r="BF22" s="28"/>
      <c r="BG22" s="28"/>
      <c r="BH22" s="28"/>
      <c r="BI22" s="28"/>
      <c r="BJ22" s="28"/>
      <c r="BK22" s="28"/>
      <c r="BL22" s="28"/>
      <c r="BM22" s="28"/>
      <c r="BN22" s="28"/>
      <c r="BO22" s="28"/>
      <c r="BP22" s="28"/>
      <c r="BQ22" s="28"/>
      <c r="BR22" s="28">
        <v>0</v>
      </c>
      <c r="BS22" s="28">
        <v>0</v>
      </c>
      <c r="BT22" s="28"/>
      <c r="BU22" s="28"/>
      <c r="BV22" s="28"/>
      <c r="BW22" s="28"/>
      <c r="BX22" s="28"/>
      <c r="BY22" s="28"/>
      <c r="BZ22" s="28"/>
      <c r="CA22" s="28"/>
      <c r="CB22" s="28"/>
      <c r="CC22" s="28"/>
      <c r="CD22" s="28"/>
      <c r="CE22" s="28"/>
      <c r="CF22" s="28"/>
      <c r="CG22" s="28"/>
      <c r="CH22" s="28"/>
      <c r="CI22" s="28"/>
      <c r="CJ22" s="28"/>
      <c r="CK22" s="28"/>
      <c r="CL22" s="28"/>
      <c r="CM22" s="28"/>
      <c r="CN22" s="28"/>
      <c r="CO22" s="28"/>
      <c r="CP22" s="27"/>
      <c r="CQ22" s="27"/>
      <c r="CR22" s="27"/>
      <c r="CS22" s="27"/>
      <c r="CT22" s="27"/>
      <c r="CU22" s="29"/>
      <c r="CV22" s="27"/>
      <c r="CW22" s="27"/>
      <c r="CX22" s="27"/>
      <c r="CY22" s="27"/>
      <c r="CZ22" s="27"/>
      <c r="DA22" s="27"/>
      <c r="DB22" s="27"/>
      <c r="DC22" s="27"/>
      <c r="DD22" s="27"/>
      <c r="DE22" s="27"/>
      <c r="DF22" s="27"/>
      <c r="DG22" s="27"/>
      <c r="DH22" s="27">
        <v>0</v>
      </c>
      <c r="DI22" s="27">
        <v>0</v>
      </c>
      <c r="DJ22" s="27">
        <v>0</v>
      </c>
      <c r="DK22" s="27">
        <v>0</v>
      </c>
      <c r="DL22" s="27">
        <v>0</v>
      </c>
      <c r="DM22" s="27">
        <v>0</v>
      </c>
      <c r="DN22" s="27">
        <v>0</v>
      </c>
    </row>
    <row r="23" spans="2:118" x14ac:dyDescent="0.3">
      <c r="B23" s="36">
        <v>3</v>
      </c>
      <c r="C23" s="37" t="s">
        <v>77</v>
      </c>
      <c r="D23" s="44"/>
      <c r="E23" s="44"/>
      <c r="F23" s="44"/>
      <c r="G23" s="44">
        <v>75694.617239999992</v>
      </c>
      <c r="H23" s="44">
        <v>79723.219169999997</v>
      </c>
      <c r="I23" s="44">
        <v>79805.903569999995</v>
      </c>
      <c r="J23" s="44">
        <v>95602.29333</v>
      </c>
      <c r="K23" s="44">
        <v>95714.932620000007</v>
      </c>
      <c r="L23" s="44">
        <v>98472.872400000007</v>
      </c>
      <c r="M23" s="44">
        <v>103986.91131</v>
      </c>
      <c r="N23" s="44">
        <v>104010.87256999999</v>
      </c>
      <c r="O23" s="44">
        <v>106931.24959000001</v>
      </c>
      <c r="P23" s="28">
        <v>112456.00290000001</v>
      </c>
      <c r="Q23" s="28">
        <v>115576.09595999999</v>
      </c>
      <c r="R23" s="28">
        <v>118624.55781</v>
      </c>
      <c r="S23" s="28">
        <v>121572.40184999999</v>
      </c>
      <c r="T23" s="28">
        <v>124653.78395</v>
      </c>
      <c r="U23" s="28">
        <v>127626.36520999999</v>
      </c>
      <c r="V23" s="28">
        <v>130734.94763</v>
      </c>
      <c r="W23" s="28">
        <v>134051.74841</v>
      </c>
      <c r="X23" s="28">
        <v>137047.88303</v>
      </c>
      <c r="Y23" s="28">
        <v>140163.92546999999</v>
      </c>
      <c r="Z23" s="28">
        <v>143273.21662999998</v>
      </c>
      <c r="AA23" s="28">
        <v>146370.68049</v>
      </c>
      <c r="AB23" s="28">
        <v>149411.21291</v>
      </c>
      <c r="AC23" s="28">
        <v>152439.23981</v>
      </c>
      <c r="AD23" s="28">
        <v>155308.61216999998</v>
      </c>
      <c r="AE23" s="28">
        <v>158420.58283</v>
      </c>
      <c r="AF23" s="28">
        <v>161662.72086</v>
      </c>
      <c r="AG23" s="28">
        <v>164891.12612999999</v>
      </c>
      <c r="AH23" s="28">
        <v>168169.14012999999</v>
      </c>
      <c r="AI23" s="28">
        <v>200718.38571</v>
      </c>
      <c r="AJ23" s="28">
        <v>204945.27919999999</v>
      </c>
      <c r="AK23" s="28">
        <v>181299.677</v>
      </c>
      <c r="AL23" s="28">
        <v>212298.69373000003</v>
      </c>
      <c r="AM23" s="28">
        <v>216827.10506999999</v>
      </c>
      <c r="AN23" s="28">
        <v>217030.07889999999</v>
      </c>
      <c r="AO23" s="28">
        <v>221105.78243000002</v>
      </c>
      <c r="AP23" s="28">
        <v>264981.70167000004</v>
      </c>
      <c r="AQ23" s="28">
        <v>269147.98008000007</v>
      </c>
      <c r="AR23" s="28">
        <v>272988.03169999999</v>
      </c>
      <c r="AS23" s="28">
        <v>277230.43710999994</v>
      </c>
      <c r="AT23" s="28">
        <v>281957.83700999996</v>
      </c>
      <c r="AU23" s="28">
        <v>286298.01633999997</v>
      </c>
      <c r="AV23" s="28">
        <v>290716.34581999993</v>
      </c>
      <c r="AW23" s="28">
        <v>295045.57183999999</v>
      </c>
      <c r="AX23" s="28">
        <v>299448.89256999997</v>
      </c>
      <c r="AY23" s="28">
        <v>286146.89116</v>
      </c>
      <c r="AZ23" s="28">
        <v>290995.63916000002</v>
      </c>
      <c r="BA23" s="28">
        <v>290995.63916000002</v>
      </c>
      <c r="BB23" s="28">
        <v>300580.44695000007</v>
      </c>
      <c r="BC23" s="28">
        <v>305493.00554000004</v>
      </c>
      <c r="BD23" s="28">
        <v>310583.43960000004</v>
      </c>
      <c r="BE23" s="28">
        <v>315200.06368999998</v>
      </c>
      <c r="BF23" s="28">
        <v>320538.90192999999</v>
      </c>
      <c r="BG23" s="28">
        <v>325697.42609000002</v>
      </c>
      <c r="BH23" s="28">
        <v>330971.83892000001</v>
      </c>
      <c r="BI23" s="28">
        <v>336207.22779999999</v>
      </c>
      <c r="BJ23" s="28">
        <v>336559.25495000003</v>
      </c>
      <c r="BK23" s="28">
        <v>337100.87565999996</v>
      </c>
      <c r="BL23" s="28">
        <v>337561.92689</v>
      </c>
      <c r="BM23" s="28">
        <v>342939.93484</v>
      </c>
      <c r="BN23" s="28">
        <v>353850.38636</v>
      </c>
      <c r="BO23" s="28">
        <v>353992.75748999999</v>
      </c>
      <c r="BP23" s="28">
        <v>359643.57754999999</v>
      </c>
      <c r="BQ23" s="28">
        <v>365322.63381000003</v>
      </c>
      <c r="BR23" s="28">
        <v>371345.87663000001</v>
      </c>
      <c r="BS23" s="28">
        <v>371345.87663000001</v>
      </c>
      <c r="BT23" s="28">
        <v>383175.09054</v>
      </c>
      <c r="BU23" s="28">
        <v>389235.59213</v>
      </c>
      <c r="BV23" s="28">
        <v>395609.05676000001</v>
      </c>
      <c r="BW23" s="28">
        <v>411765.85243000003</v>
      </c>
      <c r="BX23" s="27">
        <v>411946.16123000003</v>
      </c>
      <c r="BY23" s="27">
        <v>418227.66969999997</v>
      </c>
      <c r="BZ23" s="27">
        <v>430667.85485</v>
      </c>
      <c r="CA23" s="27">
        <v>431024.61433000001</v>
      </c>
      <c r="CB23" s="27">
        <v>431024.61433000001</v>
      </c>
      <c r="CC23" s="27">
        <v>431024.61433000001</v>
      </c>
      <c r="CD23" s="27">
        <v>450827.95924</v>
      </c>
      <c r="CE23" s="27">
        <v>462277.23356999998</v>
      </c>
      <c r="CF23" s="27">
        <v>462996.25101000001</v>
      </c>
      <c r="CG23" s="27">
        <v>475057.08323000005</v>
      </c>
      <c r="CH23" s="27">
        <v>482544.16811000003</v>
      </c>
      <c r="CI23" s="27">
        <v>496246.48719999997</v>
      </c>
      <c r="CJ23" s="27">
        <v>496246.48719999997</v>
      </c>
      <c r="CK23" s="27">
        <v>496246.48719999997</v>
      </c>
      <c r="CL23" s="27">
        <v>496743.32387000002</v>
      </c>
      <c r="CM23" s="27">
        <f>519249830.13/1000</f>
        <v>519249.83013000002</v>
      </c>
      <c r="CN23" s="27">
        <f>527284244.92/1000</f>
        <v>527284.24491999997</v>
      </c>
      <c r="CO23" s="27">
        <f>541702964.73/1000</f>
        <v>541702.96473000001</v>
      </c>
      <c r="CP23" s="27">
        <f>+VLOOKUP(B23,'[1]Est. Sit. FSDSFPS'!$A$5:$CL$21,90,0)/1000</f>
        <v>543127.83048999996</v>
      </c>
      <c r="CQ23" s="27">
        <f>559631504.17/1000</f>
        <v>559631.50416999997</v>
      </c>
      <c r="CR23" s="27">
        <f>567716487.02/1000</f>
        <v>567716.48702</v>
      </c>
      <c r="CS23" s="27">
        <f>567792170.38/1000</f>
        <v>567792.17038000003</v>
      </c>
      <c r="CT23" s="27">
        <v>584757.46062999999</v>
      </c>
      <c r="CU23" s="27">
        <f>603816859.94/1000</f>
        <v>603816.85994000011</v>
      </c>
      <c r="CV23" s="27">
        <v>610442.67862000002</v>
      </c>
      <c r="CW23" s="27">
        <v>619931.09149000002</v>
      </c>
      <c r="CX23" s="27">
        <v>630857.01391999994</v>
      </c>
      <c r="CY23" s="27">
        <v>639579.33033999999</v>
      </c>
      <c r="CZ23" s="27">
        <v>644788.44276000001</v>
      </c>
      <c r="DA23" s="27">
        <v>655936.55001000001</v>
      </c>
      <c r="DB23" s="27">
        <v>668404.23346000002</v>
      </c>
      <c r="DC23" s="27">
        <v>676764.38176000002</v>
      </c>
      <c r="DD23" s="27">
        <v>686981.25566000002</v>
      </c>
      <c r="DE23" s="27">
        <v>699512.62278999994</v>
      </c>
      <c r="DF23" s="27">
        <v>710107.50395000004</v>
      </c>
      <c r="DG23" s="27">
        <v>732149.70817999996</v>
      </c>
      <c r="DH23" s="27">
        <v>742206.03165000002</v>
      </c>
      <c r="DI23" s="27">
        <v>750379.05588999996</v>
      </c>
      <c r="DJ23" s="27">
        <v>763550.22240999993</v>
      </c>
      <c r="DK23" s="27">
        <v>774256.76674999995</v>
      </c>
      <c r="DL23" s="27">
        <v>785099.54371</v>
      </c>
      <c r="DM23" s="27">
        <v>796061.62708000001</v>
      </c>
      <c r="DN23" s="27">
        <v>806504.16313999996</v>
      </c>
    </row>
    <row r="24" spans="2:118" x14ac:dyDescent="0.3">
      <c r="B24" s="36"/>
      <c r="C24" s="37"/>
      <c r="D24" s="44"/>
      <c r="E24" s="44"/>
      <c r="F24" s="44"/>
      <c r="G24" s="44"/>
      <c r="H24" s="44"/>
      <c r="I24" s="44"/>
      <c r="J24" s="44"/>
      <c r="K24" s="44"/>
      <c r="L24" s="44"/>
      <c r="M24" s="44"/>
      <c r="N24" s="44"/>
      <c r="O24" s="44"/>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35"/>
      <c r="BY24" s="35"/>
      <c r="BZ24" s="35"/>
      <c r="CA24" s="35"/>
      <c r="CB24" s="35"/>
      <c r="CC24" s="35"/>
      <c r="CD24" s="35"/>
      <c r="CE24" s="35"/>
      <c r="CF24" s="35"/>
      <c r="CG24" s="35"/>
      <c r="CH24" s="35"/>
      <c r="CI24" s="35"/>
      <c r="CJ24" s="35"/>
      <c r="CK24" s="35"/>
      <c r="CL24" s="35"/>
      <c r="CM24" s="35"/>
      <c r="CN24" s="68"/>
      <c r="CO24" s="68"/>
      <c r="CP24" s="27"/>
      <c r="CQ24" s="27"/>
      <c r="CR24" s="27"/>
      <c r="CS24" s="27"/>
      <c r="CT24" s="27"/>
      <c r="CU24" s="27"/>
      <c r="CV24" s="27"/>
      <c r="CW24" s="27"/>
      <c r="CX24" s="27"/>
      <c r="CY24" s="27"/>
      <c r="CZ24" s="27"/>
      <c r="DA24" s="27"/>
      <c r="DB24" s="27"/>
      <c r="DC24" s="27"/>
      <c r="DD24" s="27"/>
      <c r="DE24" s="27"/>
      <c r="DF24" s="27"/>
      <c r="DG24" s="27"/>
      <c r="DH24" s="27">
        <v>0</v>
      </c>
      <c r="DI24" s="27">
        <v>0</v>
      </c>
      <c r="DJ24" s="27">
        <v>0</v>
      </c>
      <c r="DK24" s="27">
        <v>0</v>
      </c>
      <c r="DL24" s="27">
        <v>0</v>
      </c>
      <c r="DM24" s="27">
        <v>0</v>
      </c>
      <c r="DN24" s="27">
        <v>0</v>
      </c>
    </row>
    <row r="25" spans="2:118" x14ac:dyDescent="0.3">
      <c r="B25" s="39">
        <v>10</v>
      </c>
      <c r="C25" s="40" t="s">
        <v>62</v>
      </c>
      <c r="D25" s="46"/>
      <c r="E25" s="46"/>
      <c r="F25" s="46"/>
      <c r="G25" s="46"/>
      <c r="H25" s="46"/>
      <c r="I25" s="46"/>
      <c r="J25" s="46"/>
      <c r="K25" s="46"/>
      <c r="L25" s="46"/>
      <c r="M25" s="46"/>
      <c r="N25" s="46"/>
      <c r="O25" s="46"/>
      <c r="P25" s="79"/>
      <c r="Q25" s="79"/>
      <c r="R25" s="79"/>
      <c r="S25" s="79"/>
      <c r="T25" s="79"/>
      <c r="U25" s="79"/>
      <c r="V25" s="79"/>
      <c r="W25" s="79"/>
      <c r="X25" s="79"/>
      <c r="Y25" s="79"/>
      <c r="Z25" s="79"/>
      <c r="AA25" s="79"/>
      <c r="AB25" s="79"/>
      <c r="AC25" s="79"/>
      <c r="AD25" s="47"/>
      <c r="AE25" s="47"/>
      <c r="AF25" s="47"/>
      <c r="AG25" s="47"/>
      <c r="AH25" s="47"/>
      <c r="AI25" s="47"/>
      <c r="AJ25" s="32">
        <f>+AJ23+AJ21+AJ18</f>
        <v>205412.32767999999</v>
      </c>
      <c r="AK25" s="32">
        <f>+AK23+AK21+AK18</f>
        <v>182042.81222000002</v>
      </c>
      <c r="AL25" s="32">
        <f>+AL23+AL21+AL18</f>
        <v>214697.93706000003</v>
      </c>
      <c r="AM25" s="32">
        <f>+AM23+AM21+AM18</f>
        <v>219179.40200999999</v>
      </c>
      <c r="AN25" s="32">
        <f>+AN23+AN21+AN18</f>
        <v>218803.5477</v>
      </c>
      <c r="AO25" s="32">
        <v>223186.81998000003</v>
      </c>
      <c r="AP25" s="32">
        <v>267639.00368999998</v>
      </c>
      <c r="AQ25" s="32">
        <v>273616.06559000001</v>
      </c>
      <c r="AR25" s="32">
        <v>278044.48146999994</v>
      </c>
      <c r="AS25" s="32">
        <v>282631.50135999994</v>
      </c>
      <c r="AT25" s="32">
        <v>287787.87250999996</v>
      </c>
      <c r="AU25" s="32">
        <v>292698.57797999994</v>
      </c>
      <c r="AV25" s="32">
        <v>297534.70806999994</v>
      </c>
      <c r="AW25" s="32">
        <v>302340.45231999998</v>
      </c>
      <c r="AX25" s="32">
        <v>307958.69910000003</v>
      </c>
      <c r="AY25" s="32">
        <v>289778.85935000004</v>
      </c>
      <c r="AZ25" s="32">
        <v>294749.23392999999</v>
      </c>
      <c r="BA25" s="32">
        <v>295253.25417000009</v>
      </c>
      <c r="BB25" s="32">
        <v>305340.84259000001</v>
      </c>
      <c r="BC25" s="32">
        <v>311323.23579000001</v>
      </c>
      <c r="BD25" s="32">
        <v>316258.23069</v>
      </c>
      <c r="BE25" s="32">
        <v>321852.78222000005</v>
      </c>
      <c r="BF25" s="32">
        <v>327697.28863999998</v>
      </c>
      <c r="BG25" s="32">
        <v>333357.25897000008</v>
      </c>
      <c r="BH25" s="32">
        <v>339095.76925999997</v>
      </c>
      <c r="BI25" s="32">
        <v>344801.84063000005</v>
      </c>
      <c r="BJ25" s="32">
        <v>340507.81803000002</v>
      </c>
      <c r="BK25" s="32">
        <v>340992.91488</v>
      </c>
      <c r="BL25" s="32">
        <v>341876.89763000002</v>
      </c>
      <c r="BM25" s="32">
        <v>347846.23010999995</v>
      </c>
      <c r="BN25" s="32">
        <v>359258.08491000003</v>
      </c>
      <c r="BO25" s="32">
        <v>360020.62348000001</v>
      </c>
      <c r="BP25" s="32">
        <v>366310.66353000002</v>
      </c>
      <c r="BQ25" s="32">
        <v>372625.54471000005</v>
      </c>
      <c r="BR25" s="32">
        <v>381195.52000000002</v>
      </c>
      <c r="BS25" s="32">
        <v>381987.67206999997</v>
      </c>
      <c r="BT25" s="32">
        <v>395367.18088000006</v>
      </c>
      <c r="BU25" s="32">
        <v>401231.67413</v>
      </c>
      <c r="BV25" s="32">
        <v>408234.38263999997</v>
      </c>
      <c r="BW25" s="32">
        <v>415042.20556999999</v>
      </c>
      <c r="BX25" s="31">
        <v>415921.07490000001</v>
      </c>
      <c r="BY25" s="31">
        <v>424126.31342000002</v>
      </c>
      <c r="BZ25" s="31">
        <v>436677.99948</v>
      </c>
      <c r="CA25" s="31">
        <v>437978.06577999995</v>
      </c>
      <c r="CB25" s="31">
        <v>439113.49064999999</v>
      </c>
      <c r="CC25" s="31">
        <v>440015.58001999999</v>
      </c>
      <c r="CD25" s="31">
        <v>461000.66745000001</v>
      </c>
      <c r="CE25" s="31">
        <v>473614.22710000002</v>
      </c>
      <c r="CF25" s="31">
        <v>475321.90139000001</v>
      </c>
      <c r="CG25" s="31">
        <v>488166.70285</v>
      </c>
      <c r="CH25" s="31">
        <v>495741.03969000006</v>
      </c>
      <c r="CI25" s="31">
        <v>500502.36975999997</v>
      </c>
      <c r="CJ25" s="31">
        <v>501465.42926</v>
      </c>
      <c r="CK25" s="31">
        <v>502325.42161999992</v>
      </c>
      <c r="CL25" s="31">
        <v>503817.39092000003</v>
      </c>
      <c r="CM25" s="31">
        <f>527632064.51/1000</f>
        <v>527632.06450999994</v>
      </c>
      <c r="CN25" s="31">
        <f>537001235.29/1000</f>
        <v>537001.23528999998</v>
      </c>
      <c r="CO25" s="31">
        <f>551524650.28/1000</f>
        <v>551524.65027999994</v>
      </c>
      <c r="CP25" s="31" t="e">
        <f>+VLOOKUP(B25,'[1]Est. Sit. FSDSFPS'!$A$5:$CL$21,90,0)/1000</f>
        <v>#N/A</v>
      </c>
      <c r="CQ25" s="31">
        <f>572965389.24/1000</f>
        <v>572965.38924000005</v>
      </c>
      <c r="CR25" s="31">
        <f>582140328.38/1000</f>
        <v>582140.32837999996</v>
      </c>
      <c r="CS25" s="31">
        <f>583362827.03/1000</f>
        <v>583362.82702999993</v>
      </c>
      <c r="CT25" s="31">
        <v>600732.92223000003</v>
      </c>
      <c r="CU25" s="31">
        <f>607148364.74/1000</f>
        <v>607148.36473999999</v>
      </c>
      <c r="CV25" s="31">
        <v>614885.59536000004</v>
      </c>
      <c r="CW25" s="31">
        <v>625383.50647999998</v>
      </c>
      <c r="CX25" s="31">
        <v>637373.71082999988</v>
      </c>
      <c r="CY25" s="31">
        <v>647000.44091</v>
      </c>
      <c r="CZ25" s="31">
        <v>653549.25905999995</v>
      </c>
      <c r="DA25" s="31">
        <v>666087.42660999997</v>
      </c>
      <c r="DB25" s="31">
        <v>680833.48259999999</v>
      </c>
      <c r="DC25" s="31">
        <v>689963.27034000005</v>
      </c>
      <c r="DD25" s="31">
        <v>701845.18241000001</v>
      </c>
      <c r="DE25" s="31">
        <v>716423.43672</v>
      </c>
      <c r="DF25" s="31">
        <v>729164.39532000001</v>
      </c>
      <c r="DG25" s="31">
        <v>735103.72719000001</v>
      </c>
      <c r="DH25" s="31">
        <v>748235.34372</v>
      </c>
      <c r="DI25" s="31">
        <v>760909.74097000004</v>
      </c>
      <c r="DJ25" s="31">
        <v>778048.33370999992</v>
      </c>
      <c r="DK25" s="31">
        <v>792860.3918300001</v>
      </c>
      <c r="DL25" s="31">
        <v>807230.07001000014</v>
      </c>
      <c r="DM25" s="31">
        <v>821550.85274999996</v>
      </c>
      <c r="DN25" s="31">
        <v>835970.44482000009</v>
      </c>
    </row>
    <row r="26" spans="2:118" x14ac:dyDescent="0.3">
      <c r="B26" s="6"/>
      <c r="C26" s="7"/>
      <c r="D26" s="8"/>
      <c r="E26" s="8"/>
      <c r="F26" s="8"/>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23"/>
      <c r="AK26" s="23"/>
      <c r="AL26" s="23"/>
      <c r="AM26" s="23"/>
      <c r="AN26" s="7"/>
      <c r="AO26" s="7"/>
      <c r="AP26" s="7"/>
      <c r="AQ26" s="7"/>
      <c r="AR26" s="7"/>
      <c r="AS26" s="7"/>
      <c r="AT26" s="7"/>
      <c r="AU26" s="7"/>
      <c r="AV26" s="7"/>
      <c r="AW26" s="7"/>
      <c r="AX26" s="7"/>
      <c r="AY26" s="7"/>
      <c r="AZ26" s="7"/>
      <c r="BA26" s="7"/>
      <c r="BB26" s="7"/>
      <c r="BC26" s="7"/>
      <c r="BD26" s="7"/>
      <c r="BE26" s="7"/>
    </row>
    <row r="27" spans="2:118" x14ac:dyDescent="0.3">
      <c r="B27" s="81" t="s">
        <v>57</v>
      </c>
      <c r="D27" s="7"/>
      <c r="E27" s="7"/>
      <c r="F27" s="7"/>
      <c r="G27" s="7"/>
      <c r="H27" s="7"/>
      <c r="I27" s="7"/>
      <c r="J27" s="7"/>
      <c r="K27" s="7"/>
      <c r="L27" s="7"/>
      <c r="M27" s="7"/>
      <c r="N27" s="7"/>
      <c r="O27" s="7"/>
      <c r="P27" s="10"/>
      <c r="Q27" s="10"/>
      <c r="R27" s="10"/>
      <c r="S27" s="10"/>
      <c r="T27" s="10"/>
      <c r="U27" s="10"/>
      <c r="V27" s="10"/>
      <c r="W27" s="10"/>
      <c r="X27" s="10"/>
      <c r="Y27" s="10"/>
      <c r="Z27" s="10"/>
      <c r="AA27" s="10"/>
      <c r="AB27" s="11"/>
      <c r="AC27" s="11"/>
      <c r="AD27" s="11"/>
      <c r="AE27" s="11"/>
      <c r="AF27" s="11"/>
      <c r="AG27" s="11"/>
      <c r="AH27" s="11"/>
      <c r="AI27" s="11"/>
      <c r="AJ27" s="24"/>
      <c r="AK27" s="24"/>
      <c r="AL27" s="24"/>
      <c r="AM27" s="24"/>
      <c r="AN27" s="24"/>
      <c r="AO27" s="24"/>
      <c r="AP27" s="24"/>
      <c r="AQ27" s="24"/>
      <c r="AR27" s="24"/>
      <c r="AS27" s="24"/>
      <c r="AT27" s="24"/>
      <c r="AU27" s="24"/>
      <c r="AV27" s="24"/>
      <c r="AW27" s="24"/>
      <c r="AX27" s="24"/>
      <c r="AY27" s="24"/>
      <c r="AZ27" s="24"/>
      <c r="BA27" s="24"/>
      <c r="BB27" s="24"/>
      <c r="BC27" s="24"/>
      <c r="BD27" s="11"/>
      <c r="BE27" s="11"/>
      <c r="CV27" s="58"/>
      <c r="CW27" s="58"/>
      <c r="CX27" s="58"/>
      <c r="CY27" s="58"/>
      <c r="CZ27" s="58"/>
      <c r="DA27" s="58"/>
      <c r="DB27" s="58"/>
      <c r="DC27" s="58"/>
      <c r="DD27" s="58"/>
      <c r="DE27" s="58"/>
      <c r="DF27" s="58"/>
    </row>
    <row r="28" spans="2:118" x14ac:dyDescent="0.3">
      <c r="B28" s="82" t="s">
        <v>60</v>
      </c>
      <c r="D28" s="7"/>
      <c r="E28" s="7"/>
      <c r="F28" s="7"/>
      <c r="G28" s="7"/>
      <c r="H28" s="7"/>
      <c r="I28" s="7"/>
      <c r="J28" s="7"/>
      <c r="K28" s="7"/>
      <c r="L28" s="7"/>
      <c r="M28" s="7"/>
      <c r="N28" s="7"/>
      <c r="O28" s="7"/>
      <c r="P28" s="10"/>
      <c r="Q28" s="10"/>
      <c r="R28" s="10"/>
      <c r="S28" s="10"/>
      <c r="T28" s="10"/>
      <c r="U28" s="10"/>
      <c r="V28" s="10"/>
      <c r="W28" s="10"/>
      <c r="X28" s="10"/>
      <c r="Y28" s="10"/>
      <c r="Z28" s="10"/>
      <c r="AA28" s="10"/>
      <c r="AB28" s="11"/>
      <c r="AC28" s="11"/>
      <c r="AD28" s="11"/>
      <c r="AE28" s="11"/>
      <c r="AF28" s="11"/>
      <c r="AG28" s="11"/>
      <c r="AH28" s="11"/>
      <c r="AI28" s="11"/>
      <c r="AJ28" s="11"/>
      <c r="AK28" s="11"/>
      <c r="AL28" s="72"/>
      <c r="AM28" s="72"/>
      <c r="AN28" s="72"/>
      <c r="AO28" s="72"/>
      <c r="AP28" s="72"/>
      <c r="AQ28" s="72"/>
      <c r="AR28" s="72"/>
      <c r="AS28" s="72"/>
      <c r="AT28" s="72"/>
      <c r="AU28" s="72"/>
      <c r="AV28" s="72"/>
      <c r="AW28" s="72"/>
      <c r="AX28" s="72"/>
      <c r="AY28" s="72"/>
      <c r="AZ28" s="72"/>
      <c r="BA28" s="72"/>
      <c r="BB28" s="72"/>
      <c r="BC28" s="11"/>
      <c r="BD28" s="11"/>
      <c r="BE28" s="11"/>
      <c r="CV28" s="58"/>
      <c r="CW28" s="58"/>
      <c r="CX28" s="58"/>
      <c r="CY28" s="58"/>
      <c r="CZ28" s="58"/>
      <c r="DA28" s="58"/>
      <c r="DB28" s="58"/>
      <c r="DC28" s="58"/>
      <c r="DD28" s="58"/>
      <c r="DE28" s="58"/>
      <c r="DF28" s="58"/>
    </row>
    <row r="29" spans="2:118" x14ac:dyDescent="0.3">
      <c r="B29" s="73" t="s">
        <v>58</v>
      </c>
      <c r="D29" s="7"/>
      <c r="E29" s="7"/>
      <c r="F29" s="7"/>
      <c r="G29" s="7"/>
      <c r="H29" s="7"/>
      <c r="I29" s="7"/>
      <c r="J29" s="7"/>
      <c r="K29" s="7"/>
      <c r="L29" s="7"/>
      <c r="M29" s="7"/>
      <c r="N29" s="7"/>
      <c r="O29" s="7"/>
      <c r="P29" s="10"/>
      <c r="Q29" s="10"/>
      <c r="R29" s="10"/>
      <c r="S29" s="10"/>
      <c r="T29" s="10"/>
      <c r="U29" s="10"/>
      <c r="V29" s="10"/>
      <c r="W29" s="10"/>
      <c r="X29" s="10"/>
      <c r="Y29" s="10"/>
      <c r="Z29" s="10"/>
      <c r="AA29" s="10"/>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CV29" s="58"/>
      <c r="CW29" s="58"/>
      <c r="CX29" s="58"/>
      <c r="CY29" s="58"/>
      <c r="CZ29" s="58"/>
      <c r="DA29" s="58"/>
      <c r="DB29" s="58"/>
      <c r="DC29" s="58"/>
      <c r="DD29" s="58"/>
      <c r="DE29" s="58"/>
      <c r="DF29" s="58"/>
    </row>
    <row r="30" spans="2:118" x14ac:dyDescent="0.3">
      <c r="B30" s="73" t="s">
        <v>63</v>
      </c>
      <c r="D30" s="7"/>
      <c r="E30" s="7"/>
      <c r="F30" s="7"/>
      <c r="G30" s="7"/>
      <c r="H30" s="7"/>
      <c r="I30" s="7"/>
      <c r="J30" s="7"/>
      <c r="K30" s="7"/>
      <c r="L30" s="7"/>
      <c r="M30" s="7"/>
      <c r="N30" s="7"/>
      <c r="O30" s="7"/>
      <c r="P30" s="10"/>
      <c r="Q30" s="10"/>
      <c r="R30" s="10"/>
      <c r="S30" s="10"/>
      <c r="T30" s="10"/>
      <c r="U30" s="10"/>
      <c r="V30" s="10"/>
      <c r="W30" s="10"/>
      <c r="X30" s="10"/>
      <c r="Y30" s="10"/>
      <c r="Z30" s="10"/>
      <c r="AA30" s="10"/>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CV30" s="58"/>
      <c r="CW30" s="58"/>
      <c r="CX30" s="58"/>
      <c r="CY30" s="58"/>
      <c r="CZ30" s="58"/>
      <c r="DA30" s="58"/>
      <c r="DB30" s="58"/>
      <c r="DC30" s="58"/>
      <c r="DD30" s="58"/>
      <c r="DE30" s="58"/>
      <c r="DF30" s="58"/>
    </row>
    <row r="31" spans="2:118" x14ac:dyDescent="0.3">
      <c r="B31" s="73" t="s">
        <v>64</v>
      </c>
      <c r="D31" s="7"/>
      <c r="E31" s="7"/>
      <c r="F31" s="7"/>
      <c r="G31" s="7"/>
      <c r="H31" s="7"/>
      <c r="I31" s="7"/>
      <c r="J31" s="7"/>
      <c r="K31" s="7"/>
      <c r="L31" s="7"/>
      <c r="M31" s="7"/>
      <c r="N31" s="7"/>
      <c r="O31" s="7"/>
      <c r="P31" s="10"/>
      <c r="Q31" s="10"/>
      <c r="R31" s="10"/>
      <c r="S31" s="10"/>
      <c r="T31" s="10"/>
      <c r="U31" s="10"/>
      <c r="V31" s="10"/>
      <c r="W31" s="10"/>
      <c r="X31" s="10"/>
      <c r="Y31" s="10"/>
      <c r="Z31" s="10"/>
      <c r="AA31" s="10"/>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CV31" s="58"/>
      <c r="CW31" s="58"/>
      <c r="CX31" s="58"/>
      <c r="CY31" s="58"/>
      <c r="CZ31" s="58"/>
      <c r="DA31" s="58"/>
      <c r="DB31" s="58"/>
      <c r="DC31" s="58"/>
      <c r="DD31" s="58"/>
      <c r="DE31" s="58"/>
      <c r="DF31" s="58"/>
    </row>
    <row r="32" spans="2:118" x14ac:dyDescent="0.3">
      <c r="B32" s="73" t="s">
        <v>75</v>
      </c>
      <c r="D32" s="7"/>
      <c r="E32" s="7"/>
      <c r="F32" s="7"/>
      <c r="G32" s="7"/>
      <c r="H32" s="7"/>
      <c r="I32" s="7"/>
      <c r="J32" s="7"/>
      <c r="K32" s="7"/>
      <c r="L32" s="7"/>
      <c r="M32" s="7"/>
      <c r="N32" s="7"/>
      <c r="O32" s="7"/>
      <c r="P32" s="10"/>
      <c r="Q32" s="10"/>
      <c r="R32" s="10"/>
      <c r="S32" s="10"/>
      <c r="T32" s="10"/>
      <c r="U32" s="10"/>
      <c r="V32" s="10"/>
      <c r="W32" s="10"/>
      <c r="X32" s="10"/>
      <c r="Y32" s="10"/>
      <c r="Z32" s="10"/>
      <c r="AA32" s="10"/>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CV32" s="58"/>
      <c r="CW32" s="58"/>
      <c r="CX32" s="58"/>
      <c r="CY32" s="58"/>
      <c r="CZ32" s="58"/>
      <c r="DA32" s="58"/>
      <c r="DB32" s="58"/>
      <c r="DC32" s="58"/>
      <c r="DD32" s="58"/>
      <c r="DE32" s="58"/>
      <c r="DF32" s="58"/>
    </row>
    <row r="33" spans="2:110" x14ac:dyDescent="0.3">
      <c r="B33" s="73" t="s">
        <v>70</v>
      </c>
      <c r="D33" s="7"/>
      <c r="E33" s="7"/>
      <c r="F33" s="7"/>
      <c r="G33" s="7"/>
      <c r="H33" s="7"/>
      <c r="I33" s="7"/>
      <c r="J33" s="7"/>
      <c r="K33" s="7"/>
      <c r="L33" s="7"/>
      <c r="M33" s="7"/>
      <c r="N33" s="7"/>
      <c r="O33" s="7"/>
      <c r="P33" s="10"/>
      <c r="Q33" s="10"/>
      <c r="R33" s="10"/>
      <c r="S33" s="10"/>
      <c r="T33" s="10"/>
      <c r="U33" s="10"/>
      <c r="V33" s="10"/>
      <c r="W33" s="10"/>
      <c r="X33" s="10"/>
      <c r="Y33" s="10"/>
      <c r="Z33" s="10"/>
      <c r="AA33" s="10"/>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row>
    <row r="34" spans="2:110" x14ac:dyDescent="0.3">
      <c r="B34" s="73" t="s">
        <v>71</v>
      </c>
      <c r="D34" s="7"/>
      <c r="E34" s="7"/>
      <c r="F34" s="7"/>
      <c r="G34" s="7"/>
      <c r="H34" s="7"/>
      <c r="I34" s="7"/>
      <c r="J34" s="7"/>
      <c r="K34" s="7"/>
      <c r="L34" s="7"/>
      <c r="M34" s="7"/>
      <c r="N34" s="7"/>
      <c r="O34" s="7"/>
      <c r="P34" s="10"/>
      <c r="Q34" s="10"/>
      <c r="R34" s="10"/>
      <c r="S34" s="10"/>
      <c r="T34" s="10"/>
      <c r="U34" s="10"/>
      <c r="V34" s="10"/>
      <c r="W34" s="10"/>
      <c r="X34" s="10"/>
      <c r="Y34" s="10"/>
      <c r="Z34" s="10"/>
      <c r="AA34" s="10"/>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row>
    <row r="35" spans="2:110" ht="67.5" customHeight="1" x14ac:dyDescent="0.3">
      <c r="B35" s="100" t="s">
        <v>79</v>
      </c>
      <c r="C35" s="100"/>
      <c r="D35" s="100"/>
      <c r="E35" s="100"/>
      <c r="F35" s="100"/>
      <c r="G35" s="100"/>
      <c r="H35" s="100"/>
      <c r="I35" s="100"/>
      <c r="J35" s="100"/>
      <c r="K35" s="100"/>
      <c r="L35" s="100"/>
      <c r="M35" s="100"/>
      <c r="N35" s="100"/>
      <c r="O35" s="100"/>
      <c r="P35" s="100"/>
      <c r="Q35" s="10"/>
      <c r="R35" s="10"/>
      <c r="S35" s="10"/>
      <c r="T35" s="10"/>
      <c r="U35" s="10"/>
      <c r="V35" s="10"/>
      <c r="W35" s="10"/>
      <c r="X35" s="10"/>
      <c r="Y35" s="10"/>
      <c r="Z35" s="10"/>
      <c r="AA35" s="10"/>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row>
    <row r="36" spans="2:110" ht="28.5" customHeight="1" x14ac:dyDescent="0.3">
      <c r="B36" s="100" t="s">
        <v>82</v>
      </c>
      <c r="C36" s="100"/>
      <c r="D36" s="100"/>
      <c r="E36" s="100"/>
      <c r="F36" s="100"/>
      <c r="G36" s="100"/>
      <c r="H36" s="100"/>
      <c r="I36" s="100"/>
      <c r="J36" s="100"/>
      <c r="K36" s="100"/>
      <c r="L36" s="100"/>
      <c r="M36" s="100"/>
      <c r="N36" s="100"/>
      <c r="O36" s="100"/>
      <c r="P36" s="100"/>
      <c r="Q36" s="10"/>
      <c r="R36" s="10"/>
      <c r="S36" s="10"/>
      <c r="T36" s="10"/>
      <c r="U36" s="10"/>
      <c r="V36" s="10"/>
      <c r="W36" s="10"/>
      <c r="X36" s="10"/>
      <c r="Y36" s="10"/>
      <c r="Z36" s="10"/>
      <c r="AA36" s="10"/>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row>
    <row r="37" spans="2:110" x14ac:dyDescent="0.3">
      <c r="B37" s="73" t="s">
        <v>90</v>
      </c>
      <c r="D37" s="7"/>
      <c r="E37" s="7"/>
      <c r="F37" s="7"/>
      <c r="G37" s="7"/>
      <c r="H37" s="7"/>
      <c r="I37" s="7"/>
      <c r="J37" s="7"/>
      <c r="K37" s="7"/>
      <c r="L37" s="7"/>
      <c r="M37" s="7"/>
      <c r="N37" s="7"/>
      <c r="O37" s="7"/>
      <c r="P37" s="10"/>
      <c r="Q37" s="10"/>
      <c r="R37" s="10"/>
      <c r="S37" s="10"/>
      <c r="T37" s="10"/>
      <c r="U37" s="10"/>
      <c r="V37" s="10"/>
      <c r="W37" s="10"/>
      <c r="X37" s="10"/>
      <c r="Y37" s="10"/>
      <c r="Z37" s="10"/>
      <c r="AA37" s="10"/>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row>
    <row r="38" spans="2:110" ht="28.5" customHeight="1" x14ac:dyDescent="0.3">
      <c r="B38" s="100" t="s">
        <v>96</v>
      </c>
      <c r="C38" s="100"/>
      <c r="D38" s="100"/>
      <c r="E38" s="100"/>
      <c r="F38" s="100"/>
      <c r="G38" s="100"/>
      <c r="H38" s="100"/>
      <c r="I38" s="100"/>
      <c r="J38" s="100"/>
      <c r="K38" s="100"/>
      <c r="L38" s="100"/>
      <c r="M38" s="100"/>
      <c r="N38" s="100"/>
      <c r="O38" s="100"/>
      <c r="P38" s="100"/>
      <c r="Q38" s="10"/>
      <c r="R38" s="10"/>
      <c r="S38" s="10"/>
      <c r="T38" s="10"/>
      <c r="U38" s="10"/>
      <c r="V38" s="10"/>
      <c r="W38" s="10"/>
      <c r="X38" s="10"/>
      <c r="Y38" s="10"/>
      <c r="Z38" s="10"/>
      <c r="AA38" s="10"/>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row>
    <row r="39" spans="2:110" s="17" customFormat="1" ht="23.25" customHeight="1" x14ac:dyDescent="0.3">
      <c r="B39" s="100" t="s">
        <v>111</v>
      </c>
      <c r="C39" s="100"/>
      <c r="D39" s="100"/>
      <c r="E39" s="100"/>
      <c r="F39" s="100"/>
      <c r="G39" s="100"/>
      <c r="H39" s="100"/>
      <c r="I39" s="100"/>
      <c r="J39" s="100"/>
      <c r="K39" s="100"/>
      <c r="L39" s="100"/>
      <c r="M39" s="100"/>
      <c r="N39" s="100"/>
      <c r="O39" s="100"/>
      <c r="P39" s="100"/>
      <c r="Q39" s="18">
        <f t="shared" ref="Q39:AC39" si="0">+Q18-(Q19+Q20)</f>
        <v>0</v>
      </c>
      <c r="R39" s="18">
        <f t="shared" si="0"/>
        <v>0</v>
      </c>
      <c r="S39" s="18">
        <f t="shared" si="0"/>
        <v>0</v>
      </c>
      <c r="T39" s="18">
        <f t="shared" si="0"/>
        <v>0</v>
      </c>
      <c r="U39" s="18">
        <f t="shared" si="0"/>
        <v>0</v>
      </c>
      <c r="V39" s="18">
        <f t="shared" si="0"/>
        <v>0</v>
      </c>
      <c r="W39" s="18">
        <f t="shared" si="0"/>
        <v>0</v>
      </c>
      <c r="X39" s="18">
        <f t="shared" si="0"/>
        <v>0</v>
      </c>
      <c r="Y39" s="18">
        <f t="shared" si="0"/>
        <v>0</v>
      </c>
      <c r="Z39" s="18">
        <f t="shared" si="0"/>
        <v>0</v>
      </c>
      <c r="AA39" s="18">
        <f t="shared" si="0"/>
        <v>0</v>
      </c>
      <c r="AB39" s="18">
        <f t="shared" si="0"/>
        <v>0</v>
      </c>
      <c r="AC39" s="18">
        <f t="shared" si="0"/>
        <v>0</v>
      </c>
      <c r="AD39" s="18"/>
      <c r="AE39" s="18"/>
    </row>
    <row r="40" spans="2:110" s="17" customFormat="1" x14ac:dyDescent="0.3">
      <c r="B40" s="111" t="s">
        <v>117</v>
      </c>
      <c r="C40" s="111"/>
      <c r="D40" s="18">
        <f t="shared" ref="D40:AC40" si="1">+D11-(D12+D13+D14)</f>
        <v>0</v>
      </c>
      <c r="E40" s="18">
        <f t="shared" si="1"/>
        <v>0</v>
      </c>
      <c r="F40" s="18">
        <f t="shared" si="1"/>
        <v>0</v>
      </c>
      <c r="G40" s="18">
        <f t="shared" si="1"/>
        <v>0</v>
      </c>
      <c r="H40" s="18">
        <f t="shared" si="1"/>
        <v>0</v>
      </c>
      <c r="I40" s="18">
        <f t="shared" si="1"/>
        <v>0</v>
      </c>
      <c r="J40" s="18">
        <f t="shared" si="1"/>
        <v>0</v>
      </c>
      <c r="K40" s="18">
        <f t="shared" si="1"/>
        <v>0</v>
      </c>
      <c r="L40" s="18">
        <f t="shared" si="1"/>
        <v>0</v>
      </c>
      <c r="M40" s="18">
        <f t="shared" si="1"/>
        <v>0</v>
      </c>
      <c r="N40" s="18">
        <f t="shared" si="1"/>
        <v>0</v>
      </c>
      <c r="O40" s="18">
        <f t="shared" si="1"/>
        <v>0</v>
      </c>
      <c r="P40" s="18">
        <f t="shared" si="1"/>
        <v>0</v>
      </c>
      <c r="Q40" s="18">
        <f t="shared" si="1"/>
        <v>0</v>
      </c>
      <c r="R40" s="18">
        <f t="shared" si="1"/>
        <v>0</v>
      </c>
      <c r="S40" s="18">
        <f t="shared" si="1"/>
        <v>0</v>
      </c>
      <c r="T40" s="18">
        <f t="shared" si="1"/>
        <v>0</v>
      </c>
      <c r="U40" s="18">
        <f t="shared" si="1"/>
        <v>0</v>
      </c>
      <c r="V40" s="18">
        <f t="shared" si="1"/>
        <v>0</v>
      </c>
      <c r="W40" s="18">
        <f t="shared" si="1"/>
        <v>0</v>
      </c>
      <c r="X40" s="18">
        <f t="shared" si="1"/>
        <v>0</v>
      </c>
      <c r="Y40" s="18">
        <f t="shared" si="1"/>
        <v>0</v>
      </c>
      <c r="Z40" s="18">
        <f t="shared" si="1"/>
        <v>0</v>
      </c>
      <c r="AA40" s="18">
        <f t="shared" si="1"/>
        <v>0</v>
      </c>
      <c r="AB40" s="18">
        <f t="shared" si="1"/>
        <v>0</v>
      </c>
      <c r="AC40" s="18">
        <f t="shared" si="1"/>
        <v>0</v>
      </c>
      <c r="AD40" s="18"/>
      <c r="AE40" s="18"/>
    </row>
    <row r="41" spans="2:110" s="17" customFormat="1" x14ac:dyDescent="0.3">
      <c r="D41" s="18">
        <f t="shared" ref="D41:AC41" si="2">(D23+D18)-D11</f>
        <v>0</v>
      </c>
      <c r="E41" s="18">
        <f t="shared" si="2"/>
        <v>0</v>
      </c>
      <c r="F41" s="18">
        <f t="shared" si="2"/>
        <v>0</v>
      </c>
      <c r="G41" s="18">
        <f t="shared" si="2"/>
        <v>0</v>
      </c>
      <c r="H41" s="18">
        <f t="shared" si="2"/>
        <v>0</v>
      </c>
      <c r="I41" s="18">
        <f t="shared" si="2"/>
        <v>0</v>
      </c>
      <c r="J41" s="18">
        <f t="shared" si="2"/>
        <v>0</v>
      </c>
      <c r="K41" s="18">
        <f t="shared" si="2"/>
        <v>0</v>
      </c>
      <c r="L41" s="18">
        <f t="shared" si="2"/>
        <v>0</v>
      </c>
      <c r="M41" s="18">
        <f t="shared" si="2"/>
        <v>0</v>
      </c>
      <c r="N41" s="18">
        <f t="shared" si="2"/>
        <v>0</v>
      </c>
      <c r="O41" s="18">
        <f t="shared" si="2"/>
        <v>0</v>
      </c>
      <c r="P41" s="18">
        <f t="shared" si="2"/>
        <v>0</v>
      </c>
      <c r="Q41" s="18">
        <f t="shared" si="2"/>
        <v>0</v>
      </c>
      <c r="R41" s="18">
        <f t="shared" si="2"/>
        <v>0</v>
      </c>
      <c r="S41" s="18">
        <f t="shared" si="2"/>
        <v>0</v>
      </c>
      <c r="T41" s="18">
        <f t="shared" si="2"/>
        <v>0</v>
      </c>
      <c r="U41" s="18">
        <f t="shared" si="2"/>
        <v>0</v>
      </c>
      <c r="V41" s="18">
        <f t="shared" si="2"/>
        <v>0</v>
      </c>
      <c r="W41" s="18">
        <f t="shared" si="2"/>
        <v>0</v>
      </c>
      <c r="X41" s="18">
        <f t="shared" si="2"/>
        <v>0</v>
      </c>
      <c r="Y41" s="18">
        <f t="shared" si="2"/>
        <v>0</v>
      </c>
      <c r="Z41" s="18">
        <f t="shared" si="2"/>
        <v>0</v>
      </c>
      <c r="AA41" s="18">
        <f t="shared" si="2"/>
        <v>0</v>
      </c>
      <c r="AB41" s="18">
        <f t="shared" si="2"/>
        <v>0</v>
      </c>
      <c r="AC41" s="18">
        <f t="shared" si="2"/>
        <v>0</v>
      </c>
      <c r="AD41" s="59">
        <f>+AD23+AD18-AD11</f>
        <v>0</v>
      </c>
      <c r="AE41" s="59">
        <f>+AE23+AE18-AE11</f>
        <v>0</v>
      </c>
      <c r="AF41" s="59">
        <f>+AF23+AF18-AF11</f>
        <v>0</v>
      </c>
      <c r="AG41" s="59">
        <f t="shared" ref="AG41:AH41" si="3">+AG23+AG18-AG11</f>
        <v>0</v>
      </c>
      <c r="AH41" s="59">
        <f t="shared" si="3"/>
        <v>0</v>
      </c>
      <c r="AI41" s="59">
        <f>+AI23+AI18-AI11</f>
        <v>0</v>
      </c>
      <c r="AJ41" s="59"/>
      <c r="AK41" s="59"/>
      <c r="AL41" s="59"/>
      <c r="AM41" s="59"/>
    </row>
    <row r="42" spans="2:110" x14ac:dyDescent="0.3">
      <c r="CV42" s="17"/>
      <c r="CW42" s="17"/>
      <c r="CX42" s="17"/>
      <c r="CY42" s="17"/>
      <c r="CZ42" s="17"/>
      <c r="DA42" s="17"/>
      <c r="DB42" s="17"/>
      <c r="DC42" s="17"/>
      <c r="DD42" s="17"/>
      <c r="DE42" s="17"/>
      <c r="DF42" s="17"/>
    </row>
    <row r="43" spans="2:110" x14ac:dyDescent="0.3">
      <c r="CV43" s="17"/>
      <c r="CW43" s="17"/>
      <c r="CX43" s="17"/>
      <c r="CY43" s="17"/>
      <c r="CZ43" s="17"/>
      <c r="DA43" s="17"/>
      <c r="DB43" s="17"/>
      <c r="DC43" s="17"/>
      <c r="DD43" s="17"/>
      <c r="DE43" s="17"/>
      <c r="DF43" s="17"/>
    </row>
    <row r="44" spans="2:110" x14ac:dyDescent="0.3">
      <c r="CV44" s="17"/>
      <c r="CW44" s="17"/>
      <c r="CX44" s="17"/>
      <c r="CY44" s="17"/>
      <c r="CZ44" s="17"/>
      <c r="DA44" s="17"/>
      <c r="DB44" s="17"/>
      <c r="DC44" s="17"/>
      <c r="DD44" s="17"/>
      <c r="DE44" s="17"/>
      <c r="DF44" s="17"/>
    </row>
    <row r="45" spans="2:110" x14ac:dyDescent="0.3">
      <c r="CV45" s="17"/>
      <c r="CW45" s="17"/>
      <c r="CX45" s="17"/>
      <c r="CY45" s="17"/>
      <c r="CZ45" s="17"/>
      <c r="DA45" s="17"/>
      <c r="DB45" s="17"/>
      <c r="DC45" s="17"/>
      <c r="DD45" s="17"/>
      <c r="DE45" s="17"/>
      <c r="DF45" s="17"/>
    </row>
    <row r="46" spans="2:110" x14ac:dyDescent="0.3">
      <c r="CV46" s="17"/>
      <c r="CW46" s="17"/>
      <c r="CX46" s="17"/>
      <c r="CY46" s="17"/>
      <c r="CZ46" s="17"/>
      <c r="DA46" s="17"/>
      <c r="DB46" s="17"/>
      <c r="DC46" s="17"/>
      <c r="DD46" s="17"/>
      <c r="DE46" s="17"/>
      <c r="DF46" s="17"/>
    </row>
    <row r="47" spans="2:110" x14ac:dyDescent="0.3">
      <c r="CV47" s="17"/>
      <c r="CW47" s="17"/>
      <c r="CX47" s="17"/>
      <c r="CY47" s="17"/>
      <c r="CZ47" s="17"/>
      <c r="DA47" s="17"/>
      <c r="DB47" s="17"/>
      <c r="DC47" s="17"/>
      <c r="DD47" s="17"/>
      <c r="DE47" s="17"/>
      <c r="DF47" s="17"/>
    </row>
  </sheetData>
  <mergeCells count="20">
    <mergeCell ref="D3:K3"/>
    <mergeCell ref="D4:K4"/>
    <mergeCell ref="D5:K5"/>
    <mergeCell ref="D6:K6"/>
    <mergeCell ref="D7:E7"/>
    <mergeCell ref="B40:C40"/>
    <mergeCell ref="B35:P35"/>
    <mergeCell ref="B36:P36"/>
    <mergeCell ref="BL9:BW9"/>
    <mergeCell ref="AN9:AY9"/>
    <mergeCell ref="AB9:AM9"/>
    <mergeCell ref="D9:O9"/>
    <mergeCell ref="P9:AA9"/>
    <mergeCell ref="AZ9:BK9"/>
    <mergeCell ref="B38:P38"/>
    <mergeCell ref="CV9:DG9"/>
    <mergeCell ref="CJ9:CU9"/>
    <mergeCell ref="B39:P39"/>
    <mergeCell ref="BX9:CI9"/>
    <mergeCell ref="DH9:DN9"/>
  </mergeCells>
  <hyperlinks>
    <hyperlink ref="D7:E7" location="ÍNDICE!A1" display="&lt;- Volver a índice"/>
  </hyperlinks>
  <printOptions horizontalCentered="1" verticalCentered="1"/>
  <pageMargins left="0" right="0" top="0" bottom="0" header="0" footer="0"/>
  <pageSetup paperSize="32767"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2016-04-07T15:49:51Z</cp:lastPrinted>
  <dcterms:created xsi:type="dcterms:W3CDTF">2012-07-11T15:55:46Z</dcterms:created>
  <dcterms:modified xsi:type="dcterms:W3CDTF">2023-08-17T22:43:37Z</dcterms:modified>
</cp:coreProperties>
</file>