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Riesgos$\3) UNIDAD_DE_ANALISIS_Y_EVALUACION_DE_RIESGOS\7) PUBLICACIONES_ESTADÍSTICAS_MENSUALES\PEMS\2022\12 DICIEMBRE\"/>
    </mc:Choice>
  </mc:AlternateContent>
  <bookViews>
    <workbookView xWindow="0" yWindow="0" windowWidth="23040" windowHeight="9384"/>
  </bookViews>
  <sheets>
    <sheet name="ÍNDICE" sheetId="2" r:id="rId1"/>
    <sheet name="Privado" sheetId="8" r:id="rId2"/>
    <sheet name="Popular y Solidario" sheetId="7" r:id="rId3"/>
  </sheets>
  <definedNames>
    <definedName name="_xlnm.Print_Area" localSheetId="2">'Popular y Solidario'!$B$2:$DT$23</definedName>
  </definedNames>
  <calcPr calcId="152511"/>
</workbook>
</file>

<file path=xl/calcChain.xml><?xml version="1.0" encoding="utf-8"?>
<calcChain xmlns="http://schemas.openxmlformats.org/spreadsheetml/2006/main">
  <c r="DS16" i="7" l="1"/>
  <c r="DV16" i="7" s="1"/>
  <c r="DS14" i="7"/>
  <c r="DS42" i="7" s="1"/>
  <c r="DT42" i="7" s="1"/>
  <c r="DS13" i="7"/>
  <c r="DS50" i="7" s="1"/>
  <c r="DT50" i="7" s="1"/>
  <c r="DT13" i="7"/>
  <c r="DT56" i="7"/>
  <c r="DT49" i="7"/>
  <c r="DT46" i="7"/>
  <c r="DT39" i="7"/>
  <c r="DS39" i="7"/>
  <c r="DS40" i="7"/>
  <c r="DT40" i="7" s="1"/>
  <c r="DS44" i="7"/>
  <c r="DS45" i="7"/>
  <c r="DS46" i="7"/>
  <c r="DS49" i="7"/>
  <c r="DS54" i="7"/>
  <c r="DS55" i="7"/>
  <c r="DS56" i="7"/>
  <c r="DV20" i="7"/>
  <c r="DV21" i="7"/>
  <c r="DV19" i="7"/>
  <c r="DV11" i="7"/>
  <c r="DT20" i="7"/>
  <c r="DT21" i="7"/>
  <c r="DT19" i="7"/>
  <c r="DT11" i="7"/>
  <c r="DS11" i="7"/>
  <c r="DS51" i="7" l="1"/>
  <c r="DT51" i="7" s="1"/>
  <c r="DT16" i="7"/>
  <c r="DS41" i="7"/>
  <c r="DT41" i="7" s="1"/>
  <c r="DS17" i="7"/>
  <c r="DS15" i="7"/>
  <c r="DS43" i="7" s="1"/>
  <c r="DT43" i="7" s="1"/>
  <c r="DV14" i="7"/>
  <c r="DS52" i="7"/>
  <c r="DT52" i="7" s="1"/>
  <c r="DT14" i="7"/>
  <c r="DV13" i="7"/>
  <c r="DT15" i="7"/>
  <c r="DV15" i="7"/>
  <c r="DS53" i="7"/>
  <c r="DT53" i="7" s="1"/>
  <c r="DR39" i="7" l="1"/>
  <c r="DR40" i="7"/>
  <c r="DR41" i="7"/>
  <c r="DR42" i="7"/>
  <c r="DR43" i="7"/>
  <c r="DR44" i="7"/>
  <c r="DR45" i="7"/>
  <c r="DR46" i="7"/>
  <c r="DR49" i="7"/>
  <c r="DR50" i="7"/>
  <c r="DR51" i="7"/>
  <c r="DR52" i="7"/>
  <c r="DR53" i="7"/>
  <c r="DR54" i="7"/>
  <c r="DR55" i="7"/>
  <c r="DR56" i="7"/>
  <c r="DR17" i="7"/>
  <c r="DR16" i="7"/>
  <c r="DR15" i="7"/>
  <c r="DR14" i="7"/>
  <c r="DR13" i="7"/>
  <c r="DR11" i="7"/>
  <c r="DQ39" i="7" l="1"/>
  <c r="DQ40" i="7"/>
  <c r="DQ41" i="7"/>
  <c r="DQ42" i="7"/>
  <c r="DQ43" i="7"/>
  <c r="DQ44" i="7"/>
  <c r="DQ45" i="7"/>
  <c r="DQ46" i="7"/>
  <c r="DQ49" i="7"/>
  <c r="DQ50" i="7"/>
  <c r="DQ51" i="7"/>
  <c r="DQ52" i="7"/>
  <c r="DQ53" i="7"/>
  <c r="DQ54" i="7"/>
  <c r="DQ55" i="7"/>
  <c r="DQ56" i="7"/>
  <c r="DQ16" i="7"/>
  <c r="DQ15" i="7"/>
  <c r="DQ14" i="7"/>
  <c r="DQ13" i="7"/>
  <c r="DQ11" i="7"/>
  <c r="DQ17" i="7" l="1"/>
  <c r="DP39" i="7" l="1"/>
  <c r="DP40" i="7"/>
  <c r="DP41" i="7"/>
  <c r="DP42" i="7"/>
  <c r="DP43" i="7"/>
  <c r="DP44" i="7"/>
  <c r="DP45" i="7"/>
  <c r="DP46" i="7"/>
  <c r="DP49" i="7"/>
  <c r="DP50" i="7"/>
  <c r="DP51" i="7"/>
  <c r="DP52" i="7"/>
  <c r="DP53" i="7"/>
  <c r="DP54" i="7"/>
  <c r="DP55" i="7"/>
  <c r="DP56" i="7"/>
  <c r="DP17" i="7"/>
  <c r="DP16" i="7"/>
  <c r="DP15" i="7"/>
  <c r="DP14" i="7"/>
  <c r="DP13" i="7"/>
  <c r="DP11" i="7"/>
  <c r="DO16" i="7" l="1"/>
  <c r="DN15" i="7"/>
  <c r="DO15" i="7"/>
  <c r="DO14" i="7"/>
  <c r="DO13" i="7"/>
  <c r="DO11" i="7"/>
  <c r="DN17" i="7" l="1"/>
  <c r="DO17" i="7"/>
  <c r="DN39" i="7"/>
  <c r="DO39" i="7"/>
  <c r="DN40" i="7"/>
  <c r="DO40" i="7"/>
  <c r="DN41" i="7"/>
  <c r="DO41" i="7"/>
  <c r="DN42" i="7"/>
  <c r="DO42" i="7"/>
  <c r="DN43" i="7"/>
  <c r="DO43" i="7"/>
  <c r="DN44" i="7"/>
  <c r="DO44" i="7"/>
  <c r="DT44" i="7" s="1"/>
  <c r="DN45" i="7"/>
  <c r="DO45" i="7"/>
  <c r="DT45" i="7" s="1"/>
  <c r="DN46" i="7"/>
  <c r="DO46" i="7"/>
  <c r="DN49" i="7"/>
  <c r="DO49" i="7"/>
  <c r="DN50" i="7"/>
  <c r="DO50" i="7"/>
  <c r="DN51" i="7"/>
  <c r="DO51" i="7"/>
  <c r="DN52" i="7"/>
  <c r="DO52" i="7"/>
  <c r="DN53" i="7"/>
  <c r="DO53" i="7"/>
  <c r="DN54" i="7"/>
  <c r="DO54" i="7"/>
  <c r="DT54" i="7" s="1"/>
  <c r="DN55" i="7"/>
  <c r="DO55" i="7"/>
  <c r="DT55" i="7" s="1"/>
  <c r="DN56" i="7"/>
  <c r="DO56" i="7"/>
  <c r="DM39" i="7" l="1"/>
  <c r="DM40" i="7"/>
  <c r="DM41" i="7"/>
  <c r="DM42" i="7"/>
  <c r="DM43" i="7"/>
  <c r="DM44" i="7"/>
  <c r="DM45" i="7"/>
  <c r="DM46" i="7"/>
  <c r="DM49" i="7"/>
  <c r="DM50" i="7"/>
  <c r="DM51" i="7"/>
  <c r="DM52" i="7"/>
  <c r="DM53" i="7"/>
  <c r="DM54" i="7"/>
  <c r="DM55" i="7"/>
  <c r="DM56" i="7"/>
  <c r="DM15" i="7"/>
  <c r="DM17" i="7"/>
  <c r="DM16" i="7"/>
  <c r="DM14" i="7" l="1"/>
  <c r="DM13" i="7"/>
  <c r="DM11" i="7"/>
  <c r="DL43" i="7" l="1"/>
  <c r="CZ43" i="7"/>
  <c r="DA43" i="7"/>
  <c r="DB43" i="7"/>
  <c r="DC43" i="7"/>
  <c r="DD43" i="7"/>
  <c r="DE43" i="7"/>
  <c r="DF43" i="7"/>
  <c r="DG43" i="7"/>
  <c r="DH43" i="7"/>
  <c r="DI43" i="7"/>
  <c r="DJ43" i="7"/>
  <c r="DK43" i="7"/>
  <c r="DL44" i="7" l="1"/>
  <c r="DL45" i="7"/>
  <c r="DL46" i="7"/>
  <c r="DL54" i="7"/>
  <c r="DL55" i="7"/>
  <c r="DL56" i="7"/>
  <c r="DL16" i="7"/>
  <c r="DL14" i="7"/>
  <c r="DL13" i="7"/>
  <c r="DL11" i="7"/>
  <c r="DL17" i="7" l="1"/>
  <c r="DK44" i="7" l="1"/>
  <c r="DK45" i="7"/>
  <c r="DK46" i="7"/>
  <c r="DK54" i="7"/>
  <c r="DK55" i="7"/>
  <c r="DK56" i="7"/>
  <c r="DK16" i="7"/>
  <c r="DK14" i="7"/>
  <c r="DK13" i="7"/>
  <c r="DK11" i="7"/>
  <c r="DL39" i="7" l="1"/>
  <c r="DL42" i="7"/>
  <c r="DK17" i="7"/>
  <c r="DL40" i="7"/>
  <c r="DL41" i="7"/>
  <c r="DJ54" i="7"/>
  <c r="DJ55" i="7"/>
  <c r="DJ56" i="7"/>
  <c r="DJ44" i="7"/>
  <c r="DJ45" i="7"/>
  <c r="DJ46" i="7"/>
  <c r="DI19" i="7"/>
  <c r="DJ16" i="7"/>
  <c r="DK41" i="7" s="1"/>
  <c r="DJ14" i="7"/>
  <c r="DK42" i="7" s="1"/>
  <c r="DJ13" i="7"/>
  <c r="DK40" i="7" s="1"/>
  <c r="DJ11" i="7"/>
  <c r="DK39" i="7" s="1"/>
  <c r="DJ17" i="7" l="1"/>
  <c r="DI54" i="7" l="1"/>
  <c r="DI55" i="7"/>
  <c r="DI56" i="7"/>
  <c r="DI44" i="7"/>
  <c r="DI45" i="7"/>
  <c r="DI46" i="7"/>
  <c r="DH16" i="7"/>
  <c r="DI16" i="7" l="1"/>
  <c r="DI14" i="7"/>
  <c r="DI13" i="7"/>
  <c r="DI11" i="7"/>
  <c r="DJ42" i="7" l="1"/>
  <c r="DJ39" i="7"/>
  <c r="DJ40" i="7"/>
  <c r="DI40" i="7"/>
  <c r="DI17" i="7"/>
  <c r="DJ41" i="7"/>
  <c r="DI41" i="7"/>
  <c r="DH14" i="7"/>
  <c r="DI42" i="7" s="1"/>
  <c r="DH13" i="7"/>
  <c r="DH54" i="7"/>
  <c r="DH55" i="7"/>
  <c r="DH56" i="7"/>
  <c r="DH44" i="7"/>
  <c r="DH45" i="7"/>
  <c r="DH46" i="7"/>
  <c r="DH11" i="7"/>
  <c r="DI39" i="7" s="1"/>
  <c r="DH17" i="7" l="1"/>
  <c r="DG16" i="7"/>
  <c r="DH41" i="7" s="1"/>
  <c r="DG14" i="7"/>
  <c r="DG13" i="7"/>
  <c r="DH40" i="7" s="1"/>
  <c r="DG54" i="7"/>
  <c r="DG55" i="7"/>
  <c r="DG56" i="7"/>
  <c r="DG44" i="7"/>
  <c r="DG45" i="7"/>
  <c r="DG46" i="7"/>
  <c r="DG11" i="7"/>
  <c r="DH39" i="7" s="1"/>
  <c r="DH42" i="7" l="1"/>
  <c r="DG17" i="7"/>
  <c r="DF45" i="7" l="1"/>
  <c r="DF16" i="7"/>
  <c r="DF14" i="7"/>
  <c r="DF13" i="7"/>
  <c r="DF54" i="7"/>
  <c r="DF56" i="7"/>
  <c r="DF44" i="7"/>
  <c r="DF46" i="7"/>
  <c r="DF11" i="7"/>
  <c r="DG39" i="7" s="1"/>
  <c r="DF17" i="7" l="1"/>
  <c r="DG42" i="7"/>
  <c r="DG41" i="7"/>
  <c r="DG40" i="7"/>
  <c r="DF55" i="7"/>
  <c r="DF40" i="7"/>
  <c r="DE50" i="7"/>
  <c r="DE54" i="7"/>
  <c r="DE55" i="7"/>
  <c r="DE56" i="7"/>
  <c r="DE44" i="7"/>
  <c r="DE45" i="7"/>
  <c r="DE46" i="7"/>
  <c r="DE16" i="7"/>
  <c r="DE14" i="7"/>
  <c r="DE13" i="7"/>
  <c r="DE11" i="7"/>
  <c r="DF39" i="7" s="1"/>
  <c r="DE49" i="7" l="1"/>
  <c r="DE17" i="7"/>
  <c r="DE51" i="7"/>
  <c r="DF42" i="7"/>
  <c r="DF41" i="7"/>
  <c r="DE53" i="7"/>
  <c r="DE52" i="7"/>
  <c r="DD16" i="7"/>
  <c r="DE41" i="7" s="1"/>
  <c r="DD14" i="7"/>
  <c r="DE42" i="7" s="1"/>
  <c r="DD13" i="7"/>
  <c r="DD54" i="7"/>
  <c r="DD55" i="7"/>
  <c r="DD56" i="7"/>
  <c r="DD44" i="7"/>
  <c r="DD45" i="7"/>
  <c r="DD46" i="7"/>
  <c r="DD11" i="7"/>
  <c r="DE39" i="7" s="1"/>
  <c r="DE40" i="7" l="1"/>
  <c r="DD17" i="7"/>
  <c r="DC16" i="7"/>
  <c r="DC14" i="7"/>
  <c r="DD42" i="7" s="1"/>
  <c r="DC13" i="7"/>
  <c r="DC44" i="7"/>
  <c r="DC45" i="7"/>
  <c r="DC46" i="7"/>
  <c r="DC54" i="7"/>
  <c r="DC55" i="7"/>
  <c r="DC56" i="7"/>
  <c r="DC11" i="7"/>
  <c r="DD39" i="7" s="1"/>
  <c r="DD41" i="7" l="1"/>
  <c r="DD40" i="7"/>
  <c r="DC17" i="7"/>
  <c r="DB16" i="7"/>
  <c r="DC41" i="7" s="1"/>
  <c r="DB14" i="7"/>
  <c r="DC42" i="7" s="1"/>
  <c r="DB13" i="7"/>
  <c r="DB11" i="7"/>
  <c r="DC39" i="7" s="1"/>
  <c r="DC40" i="7" l="1"/>
  <c r="DB54" i="7"/>
  <c r="DB55" i="7"/>
  <c r="DB56" i="7"/>
  <c r="DB44" i="7"/>
  <c r="DB45" i="7"/>
  <c r="DB46" i="7"/>
  <c r="DB17" i="7"/>
  <c r="DA16" i="7" l="1"/>
  <c r="DB41" i="7" s="1"/>
  <c r="DA14" i="7"/>
  <c r="DB42" i="7" s="1"/>
  <c r="DA13" i="7"/>
  <c r="DB40" i="7" s="1"/>
  <c r="DA11" i="7"/>
  <c r="DB39" i="7" s="1"/>
  <c r="DA54" i="7" l="1"/>
  <c r="DA55" i="7"/>
  <c r="DA56" i="7"/>
  <c r="DA44" i="7"/>
  <c r="DA45" i="7"/>
  <c r="DA46" i="7"/>
  <c r="DA17" i="7"/>
  <c r="CZ54" i="7" l="1"/>
  <c r="CZ55" i="7"/>
  <c r="CZ56" i="7"/>
  <c r="CZ44" i="7"/>
  <c r="DU19" i="7" s="1"/>
  <c r="CZ45" i="7"/>
  <c r="DU20" i="7" s="1"/>
  <c r="CZ46" i="7"/>
  <c r="DU21" i="7" s="1"/>
  <c r="CZ16" i="7"/>
  <c r="CZ14" i="7"/>
  <c r="CZ13" i="7"/>
  <c r="CZ11" i="7"/>
  <c r="DL49" i="7" l="1"/>
  <c r="DA39" i="7"/>
  <c r="DL50" i="7"/>
  <c r="DA40" i="7"/>
  <c r="DL52" i="7"/>
  <c r="DA42" i="7"/>
  <c r="CZ17" i="7"/>
  <c r="DL51" i="7"/>
  <c r="DA41" i="7"/>
  <c r="CY54" i="7"/>
  <c r="CY55" i="7"/>
  <c r="CY56" i="7"/>
  <c r="CY44" i="7"/>
  <c r="CY45" i="7"/>
  <c r="CY46" i="7"/>
  <c r="CY16" i="7"/>
  <c r="CY14" i="7"/>
  <c r="CY13" i="7"/>
  <c r="DK50" i="7" s="1"/>
  <c r="CY11" i="7"/>
  <c r="DK49" i="7" s="1"/>
  <c r="DK52" i="7" l="1"/>
  <c r="CZ42" i="7"/>
  <c r="DU14" i="7" s="1"/>
  <c r="CY17" i="7"/>
  <c r="DK51" i="7"/>
  <c r="CZ41" i="7"/>
  <c r="DU16" i="7" s="1"/>
  <c r="DL53" i="7"/>
  <c r="CZ40" i="7"/>
  <c r="CZ39" i="7"/>
  <c r="DU11" i="7" s="1"/>
  <c r="CX54" i="7"/>
  <c r="CX55" i="7"/>
  <c r="CX56" i="7"/>
  <c r="CX44" i="7"/>
  <c r="CX45" i="7"/>
  <c r="CX46" i="7"/>
  <c r="CX16" i="7"/>
  <c r="CX14" i="7"/>
  <c r="CX13" i="7"/>
  <c r="CX11" i="7"/>
  <c r="DJ49" i="7" s="1"/>
  <c r="CY39" i="7" l="1"/>
  <c r="DU15" i="7"/>
  <c r="CX15" i="7"/>
  <c r="DJ50" i="7"/>
  <c r="CY40" i="7"/>
  <c r="DJ52" i="7"/>
  <c r="CY42" i="7"/>
  <c r="CX17" i="7"/>
  <c r="DJ51" i="7"/>
  <c r="CY41" i="7"/>
  <c r="DK53" i="7"/>
  <c r="CY43" i="7"/>
  <c r="CW16" i="7"/>
  <c r="CW14" i="7"/>
  <c r="CW13" i="7"/>
  <c r="DI50" i="7" s="1"/>
  <c r="CV54" i="7"/>
  <c r="CW54" i="7"/>
  <c r="CV55" i="7"/>
  <c r="CW55" i="7"/>
  <c r="CV56" i="7"/>
  <c r="CW56" i="7"/>
  <c r="CV44" i="7"/>
  <c r="CW44" i="7"/>
  <c r="CV45" i="7"/>
  <c r="CW45" i="7"/>
  <c r="CV46" i="7"/>
  <c r="CW46" i="7"/>
  <c r="CW11" i="7"/>
  <c r="DI49" i="7" s="1"/>
  <c r="CX40" i="7" l="1"/>
  <c r="DI51" i="7"/>
  <c r="CX41" i="7"/>
  <c r="CX39" i="7"/>
  <c r="CW17" i="7"/>
  <c r="DI52" i="7"/>
  <c r="CX42" i="7"/>
  <c r="DJ53" i="7"/>
  <c r="CW42" i="7"/>
  <c r="CW15" i="7"/>
  <c r="DI53" i="7" s="1"/>
  <c r="CV16" i="7"/>
  <c r="CV14" i="7"/>
  <c r="DH51" i="7" l="1"/>
  <c r="CW41" i="7"/>
  <c r="DH52" i="7"/>
  <c r="CX43" i="7"/>
  <c r="CV13" i="7"/>
  <c r="CV11" i="7"/>
  <c r="DH49" i="7" l="1"/>
  <c r="CW39" i="7"/>
  <c r="DH50" i="7"/>
  <c r="CW40" i="7"/>
  <c r="CV15" i="7"/>
  <c r="CV17" i="7"/>
  <c r="DH53" i="7" l="1"/>
  <c r="CW43" i="7"/>
  <c r="CU55" i="7"/>
  <c r="CU54" i="7"/>
  <c r="CU16" i="7"/>
  <c r="CU14" i="7"/>
  <c r="CU13" i="7"/>
  <c r="CU46" i="7"/>
  <c r="CU56" i="7"/>
  <c r="CU11" i="7"/>
  <c r="DG49" i="7" l="1"/>
  <c r="CV39" i="7"/>
  <c r="DG51" i="7"/>
  <c r="CV41" i="7"/>
  <c r="CU17" i="7"/>
  <c r="DG50" i="7"/>
  <c r="CV40" i="7"/>
  <c r="DG52" i="7"/>
  <c r="CV42" i="7"/>
  <c r="CU15" i="7"/>
  <c r="CU45" i="7"/>
  <c r="CU44" i="7"/>
  <c r="DG53" i="7" l="1"/>
  <c r="CV43" i="7"/>
  <c r="CS17" i="7"/>
  <c r="CT16" i="7"/>
  <c r="CT14" i="7"/>
  <c r="CT13" i="7"/>
  <c r="CT15" i="7" s="1"/>
  <c r="DF53" i="7" s="1"/>
  <c r="CT11" i="7"/>
  <c r="CT17" i="7" l="1"/>
  <c r="DF50" i="7"/>
  <c r="CU40" i="7"/>
  <c r="DF51" i="7"/>
  <c r="CU41" i="7"/>
  <c r="DF49" i="7"/>
  <c r="CU39" i="7"/>
  <c r="DF52" i="7"/>
  <c r="CU42" i="7"/>
  <c r="CU43" i="7"/>
  <c r="CR54" i="7"/>
  <c r="CS54" i="7"/>
  <c r="CT54" i="7"/>
  <c r="CR55" i="7"/>
  <c r="CS55" i="7"/>
  <c r="CT55" i="7"/>
  <c r="CR56" i="7"/>
  <c r="CS56" i="7"/>
  <c r="CT56" i="7"/>
  <c r="CT39" i="7"/>
  <c r="CT40" i="7"/>
  <c r="CT41" i="7"/>
  <c r="CT42" i="7"/>
  <c r="CT43" i="7"/>
  <c r="CT44" i="7"/>
  <c r="CT45" i="7"/>
  <c r="CT46" i="7"/>
  <c r="CS44" i="7"/>
  <c r="CS45" i="7"/>
  <c r="CS46" i="7"/>
  <c r="CR16" i="7" l="1"/>
  <c r="CR14" i="7"/>
  <c r="CR13" i="7"/>
  <c r="CR45" i="7"/>
  <c r="CR46" i="7"/>
  <c r="CR11" i="7"/>
  <c r="DD49" i="7" l="1"/>
  <c r="CS39" i="7"/>
  <c r="CR49" i="7"/>
  <c r="DD50" i="7"/>
  <c r="CS40" i="7"/>
  <c r="DD52" i="7"/>
  <c r="CS42" i="7"/>
  <c r="CR15" i="7"/>
  <c r="DD51" i="7"/>
  <c r="CS41" i="7"/>
  <c r="CR44" i="7"/>
  <c r="CR17" i="7"/>
  <c r="DD53" i="7" l="1"/>
  <c r="CS43" i="7"/>
  <c r="CQ16" i="7"/>
  <c r="CQ14" i="7"/>
  <c r="CQ13" i="7"/>
  <c r="CQ15" i="7" s="1"/>
  <c r="CQ54" i="7"/>
  <c r="CQ55" i="7"/>
  <c r="CQ56" i="7"/>
  <c r="CQ44" i="7"/>
  <c r="CQ45" i="7"/>
  <c r="CQ46" i="7"/>
  <c r="CQ11" i="7"/>
  <c r="CQ53" i="7" l="1"/>
  <c r="DC53" i="7"/>
  <c r="CR43" i="7"/>
  <c r="DC52" i="7"/>
  <c r="CR42" i="7"/>
  <c r="DC51" i="7"/>
  <c r="CR41" i="7"/>
  <c r="CQ50" i="7"/>
  <c r="DC50" i="7"/>
  <c r="CR40" i="7"/>
  <c r="DC49" i="7"/>
  <c r="CR39" i="7"/>
  <c r="CQ52" i="7"/>
  <c r="CQ49" i="7"/>
  <c r="CQ41" i="7"/>
  <c r="CQ17" i="7"/>
  <c r="CQ51" i="7"/>
  <c r="CP16" i="7"/>
  <c r="DB51" i="7" s="1"/>
  <c r="CP44" i="7"/>
  <c r="CP45" i="7"/>
  <c r="CP46" i="7"/>
  <c r="CP54" i="7"/>
  <c r="CP55" i="7"/>
  <c r="CP56" i="7"/>
  <c r="CP14" i="7"/>
  <c r="CP13" i="7"/>
  <c r="DB50" i="7" s="1"/>
  <c r="CP11" i="7"/>
  <c r="DB52" i="7" l="1"/>
  <c r="CQ42" i="7"/>
  <c r="DB49" i="7"/>
  <c r="CQ39" i="7"/>
  <c r="CP15" i="7"/>
  <c r="CP17" i="7"/>
  <c r="CQ40" i="7"/>
  <c r="CO16" i="7"/>
  <c r="DA51" i="7" s="1"/>
  <c r="CO14" i="7"/>
  <c r="DA52" i="7" s="1"/>
  <c r="CO13" i="7"/>
  <c r="DA50" i="7" l="1"/>
  <c r="CP40" i="7"/>
  <c r="DB53" i="7"/>
  <c r="CQ43" i="7"/>
  <c r="CP41" i="7"/>
  <c r="CP42" i="7"/>
  <c r="CO50" i="7"/>
  <c r="CO51" i="7"/>
  <c r="CO52" i="7"/>
  <c r="CO54" i="7"/>
  <c r="CO55" i="7"/>
  <c r="CO56" i="7"/>
  <c r="CO44" i="7"/>
  <c r="CO45" i="7"/>
  <c r="CO46" i="7"/>
  <c r="CO15" i="7"/>
  <c r="DA53" i="7" s="1"/>
  <c r="CO11" i="7"/>
  <c r="CP43" i="7" l="1"/>
  <c r="DA49" i="7"/>
  <c r="CP39" i="7"/>
  <c r="CO49" i="7"/>
  <c r="CO17" i="7"/>
  <c r="CN16" i="7" l="1"/>
  <c r="CN14" i="7"/>
  <c r="CN13" i="7"/>
  <c r="CN54" i="7"/>
  <c r="CN55" i="7"/>
  <c r="CN56" i="7"/>
  <c r="CN44" i="7"/>
  <c r="CN45" i="7"/>
  <c r="CN46" i="7"/>
  <c r="CN11" i="7"/>
  <c r="CN17" i="7" s="1"/>
  <c r="CZ50" i="7" l="1"/>
  <c r="CO40" i="7"/>
  <c r="CZ52" i="7"/>
  <c r="DW14" i="7" s="1"/>
  <c r="CO42" i="7"/>
  <c r="CN15" i="7"/>
  <c r="CZ49" i="7"/>
  <c r="CO39" i="7"/>
  <c r="CZ51" i="7"/>
  <c r="DW16" i="7" s="1"/>
  <c r="CO41" i="7"/>
  <c r="CZ53" i="7" l="1"/>
  <c r="DW15" i="7" s="1"/>
  <c r="CO43" i="7"/>
  <c r="CM16" i="7"/>
  <c r="CM14" i="7"/>
  <c r="CM13" i="7"/>
  <c r="CM49" i="7"/>
  <c r="CM54" i="7"/>
  <c r="CM55" i="7"/>
  <c r="CM56" i="7"/>
  <c r="CM44" i="7"/>
  <c r="CM45" i="7"/>
  <c r="CM46" i="7"/>
  <c r="CM11" i="7"/>
  <c r="CY52" i="7" l="1"/>
  <c r="CN42" i="7"/>
  <c r="CY51" i="7"/>
  <c r="CN41" i="7"/>
  <c r="CY50" i="7"/>
  <c r="CN40" i="7"/>
  <c r="CY49" i="7"/>
  <c r="CM17" i="7"/>
  <c r="CN39" i="7"/>
  <c r="CM15" i="7"/>
  <c r="CL51" i="7"/>
  <c r="CL54" i="7"/>
  <c r="CL55" i="7"/>
  <c r="CL56" i="7"/>
  <c r="CL44" i="7"/>
  <c r="CL45" i="7"/>
  <c r="CL46" i="7"/>
  <c r="CL16" i="7"/>
  <c r="CX51" i="7" s="1"/>
  <c r="CL14" i="7"/>
  <c r="CX52" i="7" s="1"/>
  <c r="CL13" i="7"/>
  <c r="CL11" i="7"/>
  <c r="CM42" i="7" l="1"/>
  <c r="CM41" i="7"/>
  <c r="CX49" i="7"/>
  <c r="CM39" i="7"/>
  <c r="CX50" i="7"/>
  <c r="CM40" i="7"/>
  <c r="CL52" i="7"/>
  <c r="CL15" i="7"/>
  <c r="CY53" i="7"/>
  <c r="CN43" i="7"/>
  <c r="CL50" i="7"/>
  <c r="CL17" i="7"/>
  <c r="CL49" i="7"/>
  <c r="CK54" i="7"/>
  <c r="CK55" i="7"/>
  <c r="CK56" i="7"/>
  <c r="CK44" i="7"/>
  <c r="CK45" i="7"/>
  <c r="CK46" i="7"/>
  <c r="CK16" i="7"/>
  <c r="CK14" i="7"/>
  <c r="CW52" i="7" s="1"/>
  <c r="CK13" i="7"/>
  <c r="CW50" i="7" s="1"/>
  <c r="CK11" i="7"/>
  <c r="CW49" i="7" s="1"/>
  <c r="CL39" i="7" l="1"/>
  <c r="CL40" i="7"/>
  <c r="CK50" i="7"/>
  <c r="CL42" i="7"/>
  <c r="CX53" i="7"/>
  <c r="CM43" i="7"/>
  <c r="CK15" i="7"/>
  <c r="CK17" i="7"/>
  <c r="CW51" i="7"/>
  <c r="CL41" i="7"/>
  <c r="CJ44" i="7"/>
  <c r="CJ45" i="7"/>
  <c r="CJ46" i="7"/>
  <c r="CJ50" i="7"/>
  <c r="CJ51" i="7"/>
  <c r="CJ54" i="7"/>
  <c r="CJ55" i="7"/>
  <c r="CJ16" i="7"/>
  <c r="CJ14" i="7"/>
  <c r="CV52" i="7" s="1"/>
  <c r="CJ13" i="7"/>
  <c r="CV50" i="7" s="1"/>
  <c r="CJ11" i="7"/>
  <c r="CK40" i="7" l="1"/>
  <c r="CW53" i="7"/>
  <c r="CJ52" i="7"/>
  <c r="CJ15" i="7"/>
  <c r="CV51" i="7"/>
  <c r="CK41" i="7"/>
  <c r="CK42" i="7"/>
  <c r="CJ17" i="7"/>
  <c r="CL43" i="7"/>
  <c r="CV49" i="7"/>
  <c r="CK39" i="7"/>
  <c r="CJ49" i="7"/>
  <c r="CI54" i="7"/>
  <c r="CI55" i="7"/>
  <c r="CI44" i="7"/>
  <c r="CI45" i="7"/>
  <c r="CI46" i="7"/>
  <c r="CI16" i="7"/>
  <c r="CI14" i="7"/>
  <c r="CU52" i="7" s="1"/>
  <c r="CI13" i="7"/>
  <c r="CI50" i="7" s="1"/>
  <c r="CI11" i="7"/>
  <c r="CI49" i="7" s="1"/>
  <c r="CJ42" i="7" l="1"/>
  <c r="CV53" i="7"/>
  <c r="CU51" i="7"/>
  <c r="CJ41" i="7"/>
  <c r="CI17" i="7"/>
  <c r="CU50" i="7"/>
  <c r="CJ40" i="7"/>
  <c r="CK43" i="7"/>
  <c r="CU49" i="7"/>
  <c r="CJ39" i="7"/>
  <c r="CI52" i="7"/>
  <c r="CI15" i="7"/>
  <c r="CJ43" i="7" s="1"/>
  <c r="CI51" i="7"/>
  <c r="CH54" i="7"/>
  <c r="CH55" i="7"/>
  <c r="CH44" i="7"/>
  <c r="CH45" i="7"/>
  <c r="CH46" i="7"/>
  <c r="CH16" i="7"/>
  <c r="CT51" i="7" s="1"/>
  <c r="CH14" i="7"/>
  <c r="CT52" i="7" s="1"/>
  <c r="CH13" i="7"/>
  <c r="CH11" i="7"/>
  <c r="CH51" i="7" l="1"/>
  <c r="CI42" i="7"/>
  <c r="CI41" i="7"/>
  <c r="CT50" i="7"/>
  <c r="CI40" i="7"/>
  <c r="CH15" i="7"/>
  <c r="CI43" i="7" s="1"/>
  <c r="CH52" i="7"/>
  <c r="CH50" i="7"/>
  <c r="CT49" i="7"/>
  <c r="CI39" i="7"/>
  <c r="CU53" i="7"/>
  <c r="CH17" i="7"/>
  <c r="CH49" i="7"/>
  <c r="CG44" i="7"/>
  <c r="CG45" i="7"/>
  <c r="CG46" i="7"/>
  <c r="CG54" i="7"/>
  <c r="CG55" i="7"/>
  <c r="CG16" i="7"/>
  <c r="CG51" i="7" s="1"/>
  <c r="CG14" i="7"/>
  <c r="CS52" i="7" s="1"/>
  <c r="CG13" i="7"/>
  <c r="CS50" i="7" s="1"/>
  <c r="CG11" i="7"/>
  <c r="CS49" i="7" s="1"/>
  <c r="CG17" i="7" l="1"/>
  <c r="CG39" i="7"/>
  <c r="CH39" i="7"/>
  <c r="CG49" i="7"/>
  <c r="CG15" i="7"/>
  <c r="CH43" i="7" s="1"/>
  <c r="CH40" i="7"/>
  <c r="CH42" i="7"/>
  <c r="CG52" i="7"/>
  <c r="CT53" i="7"/>
  <c r="CS51" i="7"/>
  <c r="CH41" i="7"/>
  <c r="CG50" i="7"/>
  <c r="CG40" i="7"/>
  <c r="CE17" i="7"/>
  <c r="CF16" i="7"/>
  <c r="CF14" i="7"/>
  <c r="CR52" i="7" s="1"/>
  <c r="CF13" i="7"/>
  <c r="CR50" i="7" s="1"/>
  <c r="CG42" i="7" l="1"/>
  <c r="CF15" i="7"/>
  <c r="CR53" i="7" s="1"/>
  <c r="CR51" i="7"/>
  <c r="CG41" i="7"/>
  <c r="CF17" i="7"/>
  <c r="CS53" i="7"/>
  <c r="CG43" i="7"/>
  <c r="CF39" i="7"/>
  <c r="CF40" i="7"/>
  <c r="CF41" i="7"/>
  <c r="CF42" i="7"/>
  <c r="CF43" i="7"/>
  <c r="CE44" i="7"/>
  <c r="CF44" i="7"/>
  <c r="CE45" i="7"/>
  <c r="CF45" i="7"/>
  <c r="CE46" i="7"/>
  <c r="CF46" i="7"/>
  <c r="CE49" i="7"/>
  <c r="CF49" i="7"/>
  <c r="CE50" i="7"/>
  <c r="CF50" i="7"/>
  <c r="CE51" i="7"/>
  <c r="CF51" i="7"/>
  <c r="CE52" i="7"/>
  <c r="CF52" i="7"/>
  <c r="CE54" i="7"/>
  <c r="CF54" i="7"/>
  <c r="CE55" i="7"/>
  <c r="CF55" i="7"/>
  <c r="CD16" i="7" l="1"/>
  <c r="CD14" i="7"/>
  <c r="CD13" i="7"/>
  <c r="CP50" i="7" l="1"/>
  <c r="CE40" i="7"/>
  <c r="CP52" i="7"/>
  <c r="CE42" i="7"/>
  <c r="CP51" i="7"/>
  <c r="CE41" i="7"/>
  <c r="CC15" i="7"/>
  <c r="CO53" i="7" s="1"/>
  <c r="CD15" i="7"/>
  <c r="CP53" i="7" l="1"/>
  <c r="CE43" i="7"/>
  <c r="CD11" i="7"/>
  <c r="CP49" i="7" l="1"/>
  <c r="CE39" i="7"/>
  <c r="CC17" i="7"/>
  <c r="CD17" i="7"/>
  <c r="CC49" i="7"/>
  <c r="CC50" i="7"/>
  <c r="CC51" i="7"/>
  <c r="CC52" i="7"/>
  <c r="CC54" i="7"/>
  <c r="CD54" i="7"/>
  <c r="CC55" i="7"/>
  <c r="CD55" i="7"/>
  <c r="CD39" i="7"/>
  <c r="CD40" i="7"/>
  <c r="CD41" i="7"/>
  <c r="CD42" i="7"/>
  <c r="CD43" i="7"/>
  <c r="CC44" i="7"/>
  <c r="CD44" i="7"/>
  <c r="CC45" i="7"/>
  <c r="CD45" i="7"/>
  <c r="CC46" i="7"/>
  <c r="CD46" i="7"/>
  <c r="CB44" i="7" l="1"/>
  <c r="CB45" i="7"/>
  <c r="CB46" i="7"/>
  <c r="CB54" i="7"/>
  <c r="CB55" i="7"/>
  <c r="CB16" i="7"/>
  <c r="CB51" i="7" s="1"/>
  <c r="CB14" i="7"/>
  <c r="CB52" i="7" s="1"/>
  <c r="CB13" i="7"/>
  <c r="CB11" i="7"/>
  <c r="CB15" i="7" l="1"/>
  <c r="CN50" i="7"/>
  <c r="CC40" i="7"/>
  <c r="CN49" i="7"/>
  <c r="CC39" i="7"/>
  <c r="CB17" i="7"/>
  <c r="CN52" i="7"/>
  <c r="CC42" i="7"/>
  <c r="CB50" i="7"/>
  <c r="CN51" i="7"/>
  <c r="CC41" i="7"/>
  <c r="CB49" i="7"/>
  <c r="CB39" i="7"/>
  <c r="CA55" i="7"/>
  <c r="BZ55" i="7"/>
  <c r="BY55" i="7"/>
  <c r="BX55" i="7"/>
  <c r="BW55" i="7"/>
  <c r="BV55" i="7"/>
  <c r="BU55" i="7"/>
  <c r="BT55" i="7"/>
  <c r="BS55" i="7"/>
  <c r="BR55" i="7"/>
  <c r="BQ55" i="7"/>
  <c r="BP55" i="7"/>
  <c r="BO55" i="7"/>
  <c r="DW20" i="7" s="1"/>
  <c r="BN55" i="7"/>
  <c r="BM55" i="7"/>
  <c r="BL55" i="7"/>
  <c r="BK55" i="7"/>
  <c r="BJ55" i="7"/>
  <c r="BI55" i="7"/>
  <c r="BH55" i="7"/>
  <c r="BG55" i="7"/>
  <c r="BF55" i="7"/>
  <c r="BE55" i="7"/>
  <c r="BD55" i="7"/>
  <c r="BC55" i="7"/>
  <c r="BB55" i="7"/>
  <c r="BA55" i="7"/>
  <c r="AZ55" i="7"/>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CA54" i="7"/>
  <c r="BZ54" i="7"/>
  <c r="BY54" i="7"/>
  <c r="BX54" i="7"/>
  <c r="BW54" i="7"/>
  <c r="BV54" i="7"/>
  <c r="BU54" i="7"/>
  <c r="BT54" i="7"/>
  <c r="BS54" i="7"/>
  <c r="BR54" i="7"/>
  <c r="BQ54" i="7"/>
  <c r="BP54" i="7"/>
  <c r="BO54" i="7"/>
  <c r="BN54" i="7"/>
  <c r="BM54" i="7"/>
  <c r="BL54" i="7"/>
  <c r="BK54" i="7"/>
  <c r="BJ54" i="7"/>
  <c r="BI54" i="7"/>
  <c r="BH54" i="7"/>
  <c r="BG54" i="7"/>
  <c r="BF54" i="7"/>
  <c r="BE54" i="7"/>
  <c r="BD54" i="7"/>
  <c r="BC54" i="7"/>
  <c r="BB54" i="7"/>
  <c r="BA54" i="7"/>
  <c r="AZ54" i="7"/>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BZ52" i="7"/>
  <c r="BX52" i="7"/>
  <c r="BW52" i="7"/>
  <c r="BV52" i="7"/>
  <c r="BU52" i="7"/>
  <c r="BT52" i="7"/>
  <c r="BS52" i="7"/>
  <c r="BQ52" i="7"/>
  <c r="BP52" i="7"/>
  <c r="BO52" i="7"/>
  <c r="BN52" i="7"/>
  <c r="BM52" i="7"/>
  <c r="BL52" i="7"/>
  <c r="BK52" i="7"/>
  <c r="BJ52" i="7"/>
  <c r="BI52" i="7"/>
  <c r="BH52" i="7"/>
  <c r="BG52" i="7"/>
  <c r="BF52" i="7"/>
  <c r="BE52" i="7"/>
  <c r="BD52" i="7"/>
  <c r="BC52" i="7"/>
  <c r="BB52" i="7"/>
  <c r="BA52" i="7"/>
  <c r="AZ52" i="7"/>
  <c r="AY52" i="7"/>
  <c r="AX52" i="7"/>
  <c r="AW52" i="7"/>
  <c r="AV52" i="7"/>
  <c r="AU52" i="7"/>
  <c r="AT52" i="7"/>
  <c r="AS52" i="7"/>
  <c r="AR52" i="7"/>
  <c r="AQ52" i="7"/>
  <c r="AP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BZ51" i="7"/>
  <c r="BX51" i="7"/>
  <c r="BW51" i="7"/>
  <c r="BV51" i="7"/>
  <c r="BU51" i="7"/>
  <c r="BT51" i="7"/>
  <c r="BS51" i="7"/>
  <c r="BQ51" i="7"/>
  <c r="BP51" i="7"/>
  <c r="BO51" i="7"/>
  <c r="BN51" i="7"/>
  <c r="BM51" i="7"/>
  <c r="BL51" i="7"/>
  <c r="BK51" i="7"/>
  <c r="BJ51" i="7"/>
  <c r="BI51" i="7"/>
  <c r="BH51" i="7"/>
  <c r="BG51" i="7"/>
  <c r="BF51" i="7"/>
  <c r="BE51" i="7"/>
  <c r="BD51" i="7"/>
  <c r="BC51" i="7"/>
  <c r="BB51" i="7"/>
  <c r="BA51" i="7"/>
  <c r="AZ51" i="7"/>
  <c r="AY51" i="7"/>
  <c r="AX5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BZ50" i="7"/>
  <c r="BY50" i="7"/>
  <c r="BX50" i="7"/>
  <c r="BW50" i="7"/>
  <c r="BV50" i="7"/>
  <c r="BU50" i="7"/>
  <c r="BT50" i="7"/>
  <c r="BS50" i="7"/>
  <c r="BQ50" i="7"/>
  <c r="BP50" i="7"/>
  <c r="BO50" i="7"/>
  <c r="BN50" i="7"/>
  <c r="BM50" i="7"/>
  <c r="BL50" i="7"/>
  <c r="BK50" i="7"/>
  <c r="BJ50" i="7"/>
  <c r="BI50" i="7"/>
  <c r="BH50" i="7"/>
  <c r="BG50" i="7"/>
  <c r="BF50" i="7"/>
  <c r="BE50" i="7"/>
  <c r="BD50" i="7"/>
  <c r="BC50" i="7"/>
  <c r="BB50" i="7"/>
  <c r="BA50" i="7"/>
  <c r="AZ50" i="7"/>
  <c r="AY50" i="7"/>
  <c r="AX50" i="7"/>
  <c r="AW50" i="7"/>
  <c r="AV50" i="7"/>
  <c r="AU50" i="7"/>
  <c r="AT50" i="7"/>
  <c r="AS50" i="7"/>
  <c r="AR50" i="7"/>
  <c r="AQ50" i="7"/>
  <c r="AP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CA49" i="7"/>
  <c r="BZ49" i="7"/>
  <c r="BX49" i="7"/>
  <c r="BW49" i="7"/>
  <c r="BV49" i="7"/>
  <c r="BU49" i="7"/>
  <c r="BT49" i="7"/>
  <c r="BS49" i="7"/>
  <c r="BQ49" i="7"/>
  <c r="BP49" i="7"/>
  <c r="BO49" i="7"/>
  <c r="BN49" i="7"/>
  <c r="BM49" i="7"/>
  <c r="BL49" i="7"/>
  <c r="BK49" i="7"/>
  <c r="BJ49" i="7"/>
  <c r="BI49" i="7"/>
  <c r="BH49" i="7"/>
  <c r="BG49" i="7"/>
  <c r="BF49" i="7"/>
  <c r="BE49" i="7"/>
  <c r="BD49" i="7"/>
  <c r="BC49"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CA46" i="7"/>
  <c r="BZ46" i="7"/>
  <c r="B46" i="7"/>
  <c r="CA45" i="7"/>
  <c r="BZ45" i="7"/>
  <c r="BY45" i="7"/>
  <c r="BX45" i="7"/>
  <c r="BW45" i="7"/>
  <c r="BV45" i="7"/>
  <c r="BU45" i="7"/>
  <c r="BT45" i="7"/>
  <c r="BS45" i="7"/>
  <c r="BR45" i="7"/>
  <c r="BQ45" i="7"/>
  <c r="BP45" i="7"/>
  <c r="BO45" i="7"/>
  <c r="BN45" i="7"/>
  <c r="BM45" i="7"/>
  <c r="BL45" i="7"/>
  <c r="BK45" i="7"/>
  <c r="BJ45" i="7"/>
  <c r="BI45" i="7"/>
  <c r="BH45" i="7"/>
  <c r="BG45" i="7"/>
  <c r="BF45" i="7"/>
  <c r="BE45" i="7"/>
  <c r="BD45" i="7"/>
  <c r="BC45" i="7"/>
  <c r="BB45" i="7"/>
  <c r="BA45" i="7"/>
  <c r="AZ45" i="7"/>
  <c r="AY45"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B45" i="7"/>
  <c r="CA44" i="7"/>
  <c r="BZ44" i="7"/>
  <c r="BY44" i="7"/>
  <c r="BX44" i="7"/>
  <c r="BW44" i="7"/>
  <c r="BV44" i="7"/>
  <c r="BU44" i="7"/>
  <c r="BT44" i="7"/>
  <c r="BS44" i="7"/>
  <c r="BR44" i="7"/>
  <c r="BQ44" i="7"/>
  <c r="BP44" i="7"/>
  <c r="BO44" i="7"/>
  <c r="BN44" i="7"/>
  <c r="BM44" i="7"/>
  <c r="BL44" i="7"/>
  <c r="BK44" i="7"/>
  <c r="BJ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B44" i="7"/>
  <c r="B43" i="7"/>
  <c r="BX42" i="7"/>
  <c r="BW42" i="7"/>
  <c r="BV42" i="7"/>
  <c r="BU42" i="7"/>
  <c r="BT42" i="7"/>
  <c r="BQ42" i="7"/>
  <c r="BP42" i="7"/>
  <c r="BO42" i="7"/>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B42" i="7"/>
  <c r="BX41" i="7"/>
  <c r="BW41" i="7"/>
  <c r="BV41" i="7"/>
  <c r="BU41" i="7"/>
  <c r="BT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B41" i="7"/>
  <c r="BZ40" i="7"/>
  <c r="BY40" i="7"/>
  <c r="BX40" i="7"/>
  <c r="BW40" i="7"/>
  <c r="BV40" i="7"/>
  <c r="BU40" i="7"/>
  <c r="BT40" i="7"/>
  <c r="BQ40" i="7"/>
  <c r="BP40" i="7"/>
  <c r="BO40" i="7"/>
  <c r="BN40" i="7"/>
  <c r="BM40" i="7"/>
  <c r="BL40" i="7"/>
  <c r="BK40" i="7"/>
  <c r="BJ40" i="7"/>
  <c r="BI40" i="7"/>
  <c r="BH40" i="7"/>
  <c r="BG40" i="7"/>
  <c r="BF40" i="7"/>
  <c r="BE40" i="7"/>
  <c r="BD40" i="7"/>
  <c r="BC40" i="7"/>
  <c r="BB40" i="7"/>
  <c r="BA40" i="7"/>
  <c r="AZ40" i="7"/>
  <c r="AY40" i="7"/>
  <c r="AX40" i="7"/>
  <c r="AW40" i="7"/>
  <c r="AV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B40" i="7"/>
  <c r="CA39" i="7"/>
  <c r="BX39" i="7"/>
  <c r="BW39" i="7"/>
  <c r="BV39" i="7"/>
  <c r="BU39" i="7"/>
  <c r="BT39" i="7"/>
  <c r="BQ39" i="7"/>
  <c r="BP39" i="7"/>
  <c r="BO39" i="7"/>
  <c r="BN39" i="7"/>
  <c r="BM39" i="7"/>
  <c r="BL39" i="7"/>
  <c r="BK39" i="7"/>
  <c r="BJ39" i="7"/>
  <c r="BI39" i="7"/>
  <c r="BH39" i="7"/>
  <c r="BG39" i="7"/>
  <c r="BF39" i="7"/>
  <c r="BE39" i="7"/>
  <c r="BD39" i="7"/>
  <c r="BC39" i="7"/>
  <c r="BB39" i="7"/>
  <c r="BA39" i="7"/>
  <c r="AZ39" i="7"/>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B39" i="7"/>
  <c r="BX21" i="7"/>
  <c r="BW21" i="7"/>
  <c r="CI56" i="7" s="1"/>
  <c r="BV21" i="7"/>
  <c r="BU21" i="7"/>
  <c r="CG56" i="7" s="1"/>
  <c r="BT21" i="7"/>
  <c r="CF56" i="7" s="1"/>
  <c r="BS21" i="7"/>
  <c r="BR21" i="7"/>
  <c r="CD56" i="7" s="1"/>
  <c r="BQ21" i="7"/>
  <c r="BP21" i="7"/>
  <c r="BO21" i="7"/>
  <c r="CA56" i="7" s="1"/>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P46" i="7" s="1"/>
  <c r="AO21" i="7"/>
  <c r="AN21" i="7"/>
  <c r="AM21" i="7"/>
  <c r="AL21" i="7"/>
  <c r="AK21" i="7"/>
  <c r="AJ21" i="7"/>
  <c r="AI21" i="7"/>
  <c r="AH21" i="7"/>
  <c r="AH46" i="7" s="1"/>
  <c r="AG21" i="7"/>
  <c r="AF21" i="7"/>
  <c r="AE21" i="7"/>
  <c r="AD21" i="7"/>
  <c r="AC21" i="7"/>
  <c r="AB21" i="7"/>
  <c r="AA21" i="7"/>
  <c r="Z21" i="7"/>
  <c r="Z46" i="7" s="1"/>
  <c r="Y21" i="7"/>
  <c r="X21" i="7"/>
  <c r="W21" i="7"/>
  <c r="V21" i="7"/>
  <c r="U21" i="7"/>
  <c r="T21" i="7"/>
  <c r="S21" i="7"/>
  <c r="R21" i="7"/>
  <c r="R46" i="7" s="1"/>
  <c r="Q21" i="7"/>
  <c r="P21" i="7"/>
  <c r="O21" i="7"/>
  <c r="N21" i="7"/>
  <c r="M21" i="7"/>
  <c r="L21" i="7"/>
  <c r="K21" i="7"/>
  <c r="J21" i="7"/>
  <c r="I21" i="7"/>
  <c r="H21" i="7"/>
  <c r="G21" i="7"/>
  <c r="F21" i="7"/>
  <c r="E21" i="7"/>
  <c r="D21" i="7"/>
  <c r="BZ17" i="7"/>
  <c r="BX17" i="7"/>
  <c r="BW17" i="7"/>
  <c r="BV17" i="7"/>
  <c r="BU17" i="7"/>
  <c r="BT17" i="7"/>
  <c r="BS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A16" i="7"/>
  <c r="BY16" i="7"/>
  <c r="BR16" i="7"/>
  <c r="CD51" i="7" s="1"/>
  <c r="BZ15" i="7"/>
  <c r="CL53" i="7" s="1"/>
  <c r="BX15" i="7"/>
  <c r="CJ53" i="7" s="1"/>
  <c r="BW15" i="7"/>
  <c r="CI53" i="7" s="1"/>
  <c r="BV15" i="7"/>
  <c r="BU15" i="7"/>
  <c r="CG53" i="7" s="1"/>
  <c r="BT15" i="7"/>
  <c r="CF53" i="7" s="1"/>
  <c r="BS15" i="7"/>
  <c r="CE53" i="7" s="1"/>
  <c r="BQ15" i="7"/>
  <c r="CC53" i="7" s="1"/>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A14" i="7"/>
  <c r="BY14" i="7"/>
  <c r="BY15" i="7" s="1"/>
  <c r="BR14" i="7"/>
  <c r="CA13" i="7"/>
  <c r="CM50" i="7" s="1"/>
  <c r="BR13" i="7"/>
  <c r="BY11" i="7"/>
  <c r="BR11" i="7"/>
  <c r="V53" i="7" l="1"/>
  <c r="AL53" i="7"/>
  <c r="AT53" i="7"/>
  <c r="BB53" i="7"/>
  <c r="BJ53" i="7"/>
  <c r="AD53" i="7"/>
  <c r="T46" i="7"/>
  <c r="AB46" i="7"/>
  <c r="AJ56" i="7"/>
  <c r="AR46" i="7"/>
  <c r="AZ56" i="7"/>
  <c r="R43" i="7"/>
  <c r="AP43" i="7"/>
  <c r="BF43" i="7"/>
  <c r="U56" i="7"/>
  <c r="AC56" i="7"/>
  <c r="AS56" i="7"/>
  <c r="BA56" i="7"/>
  <c r="BI56" i="7"/>
  <c r="AK56" i="7"/>
  <c r="AH43" i="7"/>
  <c r="AX43" i="7"/>
  <c r="BN43" i="7"/>
  <c r="W56" i="7"/>
  <c r="AE56" i="7"/>
  <c r="AM56" i="7"/>
  <c r="AU56" i="7"/>
  <c r="AK53" i="7"/>
  <c r="AS53" i="7"/>
  <c r="BZ43" i="7"/>
  <c r="CK53" i="7"/>
  <c r="CM52" i="7"/>
  <c r="CB42" i="7"/>
  <c r="BQ56" i="7"/>
  <c r="CC56" i="7"/>
  <c r="AB43" i="7"/>
  <c r="AR43" i="7"/>
  <c r="BH43" i="7"/>
  <c r="T43" i="7"/>
  <c r="AJ43" i="7"/>
  <c r="AZ43" i="7"/>
  <c r="BP43" i="7"/>
  <c r="BR49" i="7"/>
  <c r="CD49" i="7"/>
  <c r="DW11" i="7" s="1"/>
  <c r="BC56" i="7"/>
  <c r="BK56" i="7"/>
  <c r="BS56" i="7"/>
  <c r="CE56" i="7"/>
  <c r="BR41" i="7"/>
  <c r="BY51" i="7"/>
  <c r="CK51" i="7"/>
  <c r="CB40" i="7"/>
  <c r="CA17" i="7"/>
  <c r="CM51" i="7"/>
  <c r="CB41" i="7"/>
  <c r="AX46" i="7"/>
  <c r="BF46" i="7"/>
  <c r="BN46" i="7"/>
  <c r="BV46" i="7"/>
  <c r="CH56" i="7"/>
  <c r="BY49" i="7"/>
  <c r="CK49" i="7"/>
  <c r="BR50" i="7"/>
  <c r="CD50" i="7"/>
  <c r="BS42" i="7"/>
  <c r="CD52" i="7"/>
  <c r="Q53" i="7"/>
  <c r="Y53" i="7"/>
  <c r="AG53" i="7"/>
  <c r="AO53" i="7"/>
  <c r="AW53" i="7"/>
  <c r="BE53" i="7"/>
  <c r="BM53" i="7"/>
  <c r="BV43" i="7"/>
  <c r="CH53" i="7"/>
  <c r="BZ42" i="7"/>
  <c r="CK52" i="7"/>
  <c r="BH56" i="7"/>
  <c r="BP46" i="7"/>
  <c r="CB56" i="7"/>
  <c r="BX56" i="7"/>
  <c r="CJ56" i="7"/>
  <c r="CN53" i="7"/>
  <c r="CC43" i="7"/>
  <c r="CB53" i="7"/>
  <c r="Z53" i="7"/>
  <c r="CA15" i="7"/>
  <c r="CM53" i="7" s="1"/>
  <c r="S53" i="7"/>
  <c r="AA53" i="7"/>
  <c r="AI53" i="7"/>
  <c r="AQ53" i="7"/>
  <c r="AY53" i="7"/>
  <c r="BG53" i="7"/>
  <c r="BO53" i="7"/>
  <c r="BX43" i="7"/>
  <c r="Q46" i="7"/>
  <c r="Y46" i="7"/>
  <c r="AG46" i="7"/>
  <c r="AO46" i="7"/>
  <c r="AW46" i="7"/>
  <c r="BE46" i="7"/>
  <c r="BM46" i="7"/>
  <c r="BU46" i="7"/>
  <c r="CA41" i="7"/>
  <c r="AH56" i="7"/>
  <c r="V43" i="7"/>
  <c r="AD43" i="7"/>
  <c r="AL43" i="7"/>
  <c r="AT43" i="7"/>
  <c r="BB43" i="7"/>
  <c r="BJ43" i="7"/>
  <c r="BQ43" i="7"/>
  <c r="BZ53" i="7"/>
  <c r="S56" i="7"/>
  <c r="AA56" i="7"/>
  <c r="AI56" i="7"/>
  <c r="AQ56" i="7"/>
  <c r="AY56" i="7"/>
  <c r="BG56" i="7"/>
  <c r="BW56" i="7"/>
  <c r="BA53" i="7"/>
  <c r="DW19" i="7"/>
  <c r="AX56" i="7"/>
  <c r="AP56" i="7"/>
  <c r="BI53" i="7"/>
  <c r="BF56" i="7"/>
  <c r="BR17" i="7"/>
  <c r="W43" i="7"/>
  <c r="AM43" i="7"/>
  <c r="AU43" i="7"/>
  <c r="BK43" i="7"/>
  <c r="BT43" i="7"/>
  <c r="BR39" i="7"/>
  <c r="BQ53" i="7"/>
  <c r="BN56" i="7"/>
  <c r="AE43" i="7"/>
  <c r="BC43" i="7"/>
  <c r="P43" i="7"/>
  <c r="X43" i="7"/>
  <c r="AF43" i="7"/>
  <c r="AN43" i="7"/>
  <c r="AV43" i="7"/>
  <c r="BD43" i="7"/>
  <c r="BL43" i="7"/>
  <c r="BU53" i="7"/>
  <c r="V56" i="7"/>
  <c r="AD56" i="7"/>
  <c r="AL56" i="7"/>
  <c r="AT56" i="7"/>
  <c r="BB56" i="7"/>
  <c r="BJ56" i="7"/>
  <c r="BR56" i="7"/>
  <c r="BS39" i="7"/>
  <c r="BY53" i="7"/>
  <c r="BV56" i="7"/>
  <c r="BV53" i="7"/>
  <c r="BR52" i="7"/>
  <c r="U53" i="7"/>
  <c r="R56" i="7"/>
  <c r="R53" i="7"/>
  <c r="AH53" i="7"/>
  <c r="AP53" i="7"/>
  <c r="AX53" i="7"/>
  <c r="BF53" i="7"/>
  <c r="BN53" i="7"/>
  <c r="BW53" i="7"/>
  <c r="BY17" i="7"/>
  <c r="P56" i="7"/>
  <c r="X56" i="7"/>
  <c r="AF56" i="7"/>
  <c r="AN56" i="7"/>
  <c r="AV56" i="7"/>
  <c r="BD56" i="7"/>
  <c r="BL56" i="7"/>
  <c r="BT56" i="7"/>
  <c r="BZ41" i="7"/>
  <c r="Z43" i="7"/>
  <c r="CA51" i="7"/>
  <c r="AC53" i="7"/>
  <c r="Z56" i="7"/>
  <c r="CA43" i="7"/>
  <c r="CA53" i="7"/>
  <c r="BH46" i="7"/>
  <c r="BR15" i="7"/>
  <c r="CD53" i="7" s="1"/>
  <c r="BS40" i="7"/>
  <c r="CA40" i="7"/>
  <c r="BY41" i="7"/>
  <c r="Q43" i="7"/>
  <c r="Y43" i="7"/>
  <c r="AG43" i="7"/>
  <c r="AO43" i="7"/>
  <c r="AW43" i="7"/>
  <c r="BE43" i="7"/>
  <c r="BM43" i="7"/>
  <c r="BU43" i="7"/>
  <c r="S46" i="7"/>
  <c r="AA46" i="7"/>
  <c r="AI46" i="7"/>
  <c r="AQ46" i="7"/>
  <c r="AY46" i="7"/>
  <c r="BG46" i="7"/>
  <c r="BO46" i="7"/>
  <c r="BW46" i="7"/>
  <c r="CA50" i="7"/>
  <c r="DW13" i="7" s="1"/>
  <c r="BR51" i="7"/>
  <c r="BY52" i="7"/>
  <c r="T53" i="7"/>
  <c r="AB53" i="7"/>
  <c r="AJ53" i="7"/>
  <c r="AR53" i="7"/>
  <c r="AZ53" i="7"/>
  <c r="BH53" i="7"/>
  <c r="BP53" i="7"/>
  <c r="BX53" i="7"/>
  <c r="Q56" i="7"/>
  <c r="Y56" i="7"/>
  <c r="AG56" i="7"/>
  <c r="AO56" i="7"/>
  <c r="AW56" i="7"/>
  <c r="BE56" i="7"/>
  <c r="BM56" i="7"/>
  <c r="BU56" i="7"/>
  <c r="AJ46" i="7"/>
  <c r="BX46" i="7"/>
  <c r="BS41" i="7"/>
  <c r="BY42" i="7"/>
  <c r="S43" i="7"/>
  <c r="AA43" i="7"/>
  <c r="AI43" i="7"/>
  <c r="AQ43" i="7"/>
  <c r="AY43" i="7"/>
  <c r="BG43" i="7"/>
  <c r="BO43" i="7"/>
  <c r="BW43" i="7"/>
  <c r="U46" i="7"/>
  <c r="AC46" i="7"/>
  <c r="AK46" i="7"/>
  <c r="AS46" i="7"/>
  <c r="BA46" i="7"/>
  <c r="BI46" i="7"/>
  <c r="BQ46" i="7"/>
  <c r="BY46" i="7"/>
  <c r="CA52" i="7"/>
  <c r="BO56" i="7"/>
  <c r="AZ46" i="7"/>
  <c r="BR42" i="7"/>
  <c r="V46" i="7"/>
  <c r="AD46" i="7"/>
  <c r="AL46" i="7"/>
  <c r="AT46" i="7"/>
  <c r="BB46" i="7"/>
  <c r="BJ46" i="7"/>
  <c r="BR46" i="7"/>
  <c r="W53" i="7"/>
  <c r="AE53" i="7"/>
  <c r="AM53" i="7"/>
  <c r="AU53" i="7"/>
  <c r="BC53" i="7"/>
  <c r="BK53" i="7"/>
  <c r="BS53" i="7"/>
  <c r="T56" i="7"/>
  <c r="AB56" i="7"/>
  <c r="AR56" i="7"/>
  <c r="BP56" i="7"/>
  <c r="BY39" i="7"/>
  <c r="CA42" i="7"/>
  <c r="U43" i="7"/>
  <c r="AC43" i="7"/>
  <c r="AK43" i="7"/>
  <c r="AS43" i="7"/>
  <c r="BA43" i="7"/>
  <c r="BI43" i="7"/>
  <c r="BY43" i="7"/>
  <c r="W46" i="7"/>
  <c r="AE46" i="7"/>
  <c r="AM46" i="7"/>
  <c r="AU46" i="7"/>
  <c r="BC46" i="7"/>
  <c r="BK46" i="7"/>
  <c r="BS46" i="7"/>
  <c r="P53" i="7"/>
  <c r="X53" i="7"/>
  <c r="AF53" i="7"/>
  <c r="AN53" i="7"/>
  <c r="AV53" i="7"/>
  <c r="BD53" i="7"/>
  <c r="BL53" i="7"/>
  <c r="BT53" i="7"/>
  <c r="BY56" i="7"/>
  <c r="BZ39" i="7"/>
  <c r="P46" i="7"/>
  <c r="X46" i="7"/>
  <c r="AF46" i="7"/>
  <c r="AN46" i="7"/>
  <c r="AV46" i="7"/>
  <c r="BD46" i="7"/>
  <c r="BL46" i="7"/>
  <c r="BT46" i="7"/>
  <c r="BZ56" i="7"/>
  <c r="BR40" i="7"/>
  <c r="CB43" i="7" l="1"/>
  <c r="BS43" i="7"/>
  <c r="DW21" i="7"/>
  <c r="BR43" i="7"/>
  <c r="BR53" i="7"/>
  <c r="DU13" i="7"/>
</calcChain>
</file>

<file path=xl/sharedStrings.xml><?xml version="1.0" encoding="utf-8"?>
<sst xmlns="http://schemas.openxmlformats.org/spreadsheetml/2006/main" count="336" uniqueCount="105">
  <si>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</si>
  <si>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</si>
  <si>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</si>
  <si>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</si>
  <si>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</si>
  <si>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</si>
  <si>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</si>
  <si>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</si>
  <si>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</si>
  <si>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</si>
  <si>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</si>
  <si>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</si>
  <si>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</si>
  <si>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</si>
  <si>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</si>
  <si>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</si>
  <si>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</si>
  <si>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</si>
  <si>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</si>
  <si>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</si>
  <si>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</si>
  <si>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</si>
  <si>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</si>
  <si>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</si>
  <si>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</si>
  <si>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Depósitos cubiertos (2)</t>
  </si>
  <si>
    <t>Depósitos asegurados SFPS (1)</t>
  </si>
  <si>
    <t>Tasa de var. anual</t>
  </si>
  <si>
    <t>Número de clientes (en número)</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</si>
  <si>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</si>
  <si>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</si>
  <si>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</si>
  <si>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</si>
  <si>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</si>
  <si>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</si>
  <si>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</si>
  <si>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</si>
  <si>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</si>
  <si>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</si>
  <si>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</si>
  <si>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</si>
  <si>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</si>
  <si>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t>Valor del Fideicomiso</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</si>
  <si>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</si>
  <si>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</si>
  <si>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</si>
  <si>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</si>
  <si>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</si>
  <si>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</si>
  <si>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</si>
  <si>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</si>
  <si>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</si>
  <si>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</si>
  <si>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</si>
  <si>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</si>
  <si>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</si>
  <si>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</si>
  <si>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</si>
  <si>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</si>
  <si>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</si>
  <si>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</si>
  <si>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</si>
  <si>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</si>
  <si>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</si>
  <si>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</si>
  <si>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</si>
  <si>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</si>
  <si>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</si>
  <si>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</si>
  <si>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</si>
  <si>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</si>
  <si>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</si>
  <si>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</si>
  <si>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Año 2021</t>
  </si>
  <si>
    <t xml:space="preserve"> Mayo</t>
  </si>
  <si>
    <t>Año 2022</t>
  </si>
  <si>
    <t xml:space="preserve">Julio </t>
  </si>
  <si>
    <r>
      <t xml:space="preserve">(10) Se dispone de </t>
    </r>
    <r>
      <rPr>
        <b/>
        <sz val="10"/>
        <color theme="1"/>
        <rFont val="Calibri"/>
        <family val="2"/>
        <scheme val="minor"/>
      </rPr>
      <t xml:space="preserve">159 </t>
    </r>
    <r>
      <rPr>
        <sz val="10"/>
        <color theme="1"/>
        <rFont val="Calibri"/>
        <family val="2"/>
        <scheme val="minor"/>
      </rPr>
      <t>EFIS con estructuras D01 al 30 de septiembre 2022 validadas.
        Se dispone de</t>
    </r>
    <r>
      <rPr>
        <b/>
        <sz val="10"/>
        <color theme="1"/>
        <rFont val="Calibri"/>
        <family val="2"/>
        <scheme val="minor"/>
      </rPr>
      <t xml:space="preserve"> 291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1</t>
    </r>
    <r>
      <rPr>
        <sz val="10"/>
        <color theme="1"/>
        <rFont val="Calibri"/>
        <family val="2"/>
        <scheme val="minor"/>
      </rPr>
      <t xml:space="preserve"> EFIS que no cuentan con estructuras  D01 por lo que se encuentran con saldos de depósitos estimados conforme los balances mensuales (B11).</t>
    </r>
  </si>
  <si>
    <r>
      <t xml:space="preserve">PUBLICACIÓN ESTADÍSTICA MENSUAL 
</t>
    </r>
    <r>
      <rPr>
        <b/>
        <sz val="11"/>
        <color theme="0" tint="-0.499984740745262"/>
        <rFont val="Garamond"/>
        <family val="1"/>
      </rPr>
      <t>(datos al 31 de diciembre de 2022)</t>
    </r>
  </si>
  <si>
    <t>31 de diciembre de 2022</t>
  </si>
  <si>
    <t>Diciembre (10)</t>
  </si>
  <si>
    <t>PATRIMONIO Y COBERTURA DEL FONDO DE SEGURO DE DEPÓSITOS DEL SISTEMA PRIVADO</t>
  </si>
  <si>
    <t>Al 31 de diciembre de 2022</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</si>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</sst>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_(* #,##0.000_);_(* \(#,##0.000\);_(* &quot;-&quot;??_);_(@_)"/>
    <numFmt numFmtId="170" formatCode="_(* #,##0.000000_);_(* \(#,##0.000000\);_(* &quot;-&quot;??_);_(@_)"/>
    <numFmt numFmtId="171"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6">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97">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166" fontId="2" fillId="0" borderId="0" xfId="1" applyNumberFormat="1" applyFont="1" applyBorder="1"/>
    <xf numFmtId="10" fontId="2" fillId="0" borderId="0" xfId="2" applyNumberFormat="1" applyFont="1" applyBorder="1" applyAlignment="1">
      <alignment horizontal="center" vertical="center"/>
    </xf>
    <xf numFmtId="0" fontId="2" fillId="0" borderId="0" xfId="0" applyFont="1"/>
    <xf numFmtId="0" fontId="2" fillId="0" borderId="0" xfId="0" applyFont="1" applyAlignment="1">
      <alignment wrapText="1"/>
    </xf>
    <xf numFmtId="10" fontId="2" fillId="0" borderId="0" xfId="2" applyNumberFormat="1" applyFont="1" applyBorder="1" applyAlignment="1">
      <alignment horizontal="center"/>
    </xf>
    <xf numFmtId="166" fontId="2" fillId="0" borderId="0" xfId="0" applyNumberFormat="1"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6" fontId="0" fillId="0" borderId="0" xfId="1" applyNumberFormat="1" applyFont="1" applyBorder="1"/>
    <xf numFmtId="10" fontId="0" fillId="0" borderId="0" xfId="2" applyNumberFormat="1" applyFont="1" applyBorder="1" applyAlignment="1">
      <alignment horizontal="center" vertical="center"/>
    </xf>
    <xf numFmtId="0" fontId="0" fillId="0" borderId="0" xfId="0" applyFont="1"/>
    <xf numFmtId="0" fontId="0" fillId="0" borderId="0" xfId="0" applyFont="1" applyAlignment="1">
      <alignment vertical="center"/>
    </xf>
    <xf numFmtId="10" fontId="0" fillId="0" borderId="0" xfId="2" applyNumberFormat="1" applyFont="1" applyBorder="1" applyAlignment="1">
      <alignment horizontal="center"/>
    </xf>
    <xf numFmtId="167" fontId="0" fillId="0" borderId="0" xfId="0" applyNumberFormat="1" applyFont="1"/>
    <xf numFmtId="166" fontId="1" fillId="0" borderId="0" xfId="1" applyNumberFormat="1" applyFont="1" applyBorder="1"/>
    <xf numFmtId="166"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2" fillId="0" borderId="0" xfId="0" applyFont="1"/>
    <xf numFmtId="167" fontId="11" fillId="3" borderId="7" xfId="1" applyNumberFormat="1" applyFont="1" applyFill="1" applyBorder="1"/>
    <xf numFmtId="166" fontId="0" fillId="0" borderId="13" xfId="1" applyNumberFormat="1" applyFont="1" applyBorder="1"/>
    <xf numFmtId="166" fontId="1" fillId="0" borderId="13" xfId="1" applyNumberFormat="1" applyFont="1" applyBorder="1"/>
    <xf numFmtId="166" fontId="1" fillId="0" borderId="13" xfId="1" applyNumberFormat="1" applyFont="1" applyBorder="1" applyAlignment="1">
      <alignment horizontal="center" vertical="center"/>
    </xf>
    <xf numFmtId="10" fontId="1" fillId="0" borderId="13" xfId="2" applyNumberFormat="1" applyFont="1" applyBorder="1" applyAlignment="1">
      <alignment horizontal="center" vertical="center"/>
    </xf>
    <xf numFmtId="166" fontId="0" fillId="0" borderId="13" xfId="1" applyNumberFormat="1" applyFont="1" applyBorder="1" applyAlignment="1">
      <alignment horizontal="center" vertical="center"/>
    </xf>
    <xf numFmtId="166" fontId="0" fillId="0" borderId="13" xfId="1" applyNumberFormat="1" applyFont="1" applyBorder="1" applyAlignment="1">
      <alignment vertical="center"/>
    </xf>
    <xf numFmtId="0" fontId="0" fillId="0" borderId="13" xfId="0" applyFont="1" applyBorder="1"/>
    <xf numFmtId="167" fontId="0" fillId="0" borderId="13" xfId="0" applyNumberFormat="1" applyFont="1" applyBorder="1"/>
    <xf numFmtId="166" fontId="0" fillId="0" borderId="13" xfId="0" applyNumberFormat="1" applyFont="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4"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0" fontId="10" fillId="0" borderId="0" xfId="0" applyFont="1" applyBorder="1"/>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9" fontId="0" fillId="0" borderId="13" xfId="1" applyNumberFormat="1" applyFont="1" applyBorder="1" applyAlignment="1">
      <alignment horizontal="center" vertical="center"/>
    </xf>
    <xf numFmtId="170" fontId="0" fillId="0" borderId="13" xfId="1" applyNumberFormat="1" applyFont="1" applyBorder="1" applyAlignment="1">
      <alignment horizontal="center" vertical="center"/>
    </xf>
    <xf numFmtId="0" fontId="0" fillId="3" borderId="0" xfId="0"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0" fontId="1" fillId="0" borderId="13" xfId="2" applyNumberFormat="1" applyFont="1" applyBorder="1" applyAlignment="1">
      <alignment horizontal="center" vertical="center"/>
    </xf>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0" fontId="8" fillId="4" borderId="4" xfId="0" applyFont="1" applyFill="1" applyBorder="1" applyAlignment="1">
      <alignment horizontal="center" vertical="center" wrapText="1"/>
    </xf>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0" fillId="0" borderId="13" xfId="0" applyFont="1" applyBorder="1" applyAlignment="1">
      <alignment horizontal="left" wrapText="1"/>
    </xf>
    <xf numFmtId="167" fontId="0" fillId="0" borderId="13" xfId="1" applyNumberFormat="1" applyFont="1" applyBorder="1" applyAlignment="1">
      <alignment horizontal="left" wrapText="1"/>
    </xf>
    <xf numFmtId="0" fontId="0" fillId="0" borderId="13" xfId="0" applyFont="1" applyBorder="1" applyAlignment="1">
      <alignment horizontal="left"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7" fontId="9" fillId="4" borderId="1"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13" fillId="3" borderId="1" xfId="3" applyFont="1" applyFill="1" applyBorder="1" applyAlignment="1">
      <alignment horizontal="left" indent="2"/>
    </xf>
    <xf numFmtId="0" fontId="13" fillId="3" borderId="1" xfId="3" applyFont="1" applyFill="1" applyBorder="1"/>
    <xf numFmtId="167" fontId="10" fillId="3" borderId="6" xfId="1" applyNumberFormat="1"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0" fontId="6" fillId="3" borderId="0" xfId="0" applyFont="1" applyFill="1" applyAlignment="1">
      <alignmen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applyAlignment="1">
      <alignment vertical="center"/>
    </xf>
    <xf numFmtId="0" fontId="0" fillId="3" borderId="0" xfId="0" applyFont="1" applyFill="1" applyAlignment="1">
      <alignment horizontal="center" vertical="center"/>
    </xf>
    <xf numFmtId="0" fontId="5" fillId="3" borderId="0" xfId="0" applyFont="1" applyFill="1" applyAlignment="1">
      <alignment horizontal="center" vertical="center"/>
    </xf>
    <xf numFmtId="0" fontId="4" fillId="3" borderId="0" xfId="0" applyFont="1" applyFill="1" applyAlignment="1"/>
    <xf numFmtId="0" fontId="4" fillId="3" borderId="0" xfId="0" applyFont="1" applyFill="1" applyAlignment="1">
      <alignment horizontal="center"/>
    </xf>
    <xf numFmtId="0" fontId="0" fillId="3" borderId="0" xfId="0" applyFont="1" applyFill="1" applyBorder="1" applyAlignment="1">
      <alignment horizontal="center" vertical="center"/>
    </xf>
    <xf numFmtId="0" fontId="17" fillId="3" borderId="0" xfId="4" applyFill="1" applyBorder="1" applyAlignment="1">
      <alignment horizontal="left" vertical="center" wrapText="1"/>
    </xf>
    <xf numFmtId="0" fontId="0" fillId="3" borderId="0" xfId="0" applyFont="1" applyFill="1" applyBorder="1" applyAlignment="1">
      <alignment horizontal="center" vertical="center"/>
    </xf>
    <xf numFmtId="167" fontId="0" fillId="3" borderId="0" xfId="0" applyNumberFormat="1" applyFill="1"/>
    <xf numFmtId="167" fontId="0" fillId="3" borderId="0" xfId="1" applyNumberFormat="1" applyFont="1" applyFill="1"/>
    <xf numFmtId="10" fontId="0" fillId="3" borderId="0" xfId="2" applyNumberFormat="1" applyFont="1" applyFill="1"/>
    <xf numFmtId="166" fontId="0" fillId="3" borderId="0" xfId="1" applyNumberFormat="1" applyFont="1" applyFill="1"/>
    <xf numFmtId="0" fontId="0" fillId="3" borderId="15" xfId="0" applyFill="1" applyBorder="1"/>
    <xf numFmtId="0" fontId="3" fillId="3" borderId="0" xfId="0" applyFont="1" applyFill="1" applyBorder="1"/>
    <xf numFmtId="167" fontId="0" fillId="3" borderId="0" xfId="1" applyNumberFormat="1" applyFont="1" applyFill="1" applyBorder="1"/>
    <xf numFmtId="171" fontId="0" fillId="3" borderId="0" xfId="2" applyNumberFormat="1" applyFont="1" applyFill="1" applyBorder="1"/>
    <xf numFmtId="168" fontId="0" fillId="3" borderId="0" xfId="1" applyNumberFormat="1" applyFont="1" applyFill="1" applyBorder="1"/>
    <xf numFmtId="0" fontId="7" fillId="3" borderId="0" xfId="0" applyFont="1" applyFill="1" applyBorder="1"/>
    <xf numFmtId="0" fontId="26" fillId="3" borderId="0" xfId="0" applyFont="1" applyFill="1" applyBorder="1"/>
    <xf numFmtId="167" fontId="4" fillId="3" borderId="0" xfId="1" applyNumberFormat="1" applyFont="1" applyFill="1" applyBorder="1"/>
    <xf numFmtId="0" fontId="4" fillId="3" borderId="0" xfId="0" applyFont="1" applyFill="1" applyBorder="1" applyAlignment="1"/>
    <xf numFmtId="0" fontId="4" fillId="3" borderId="0" xfId="0" applyFont="1" applyFill="1" applyBorder="1" applyAlignment="1">
      <alignment horizontal="left"/>
    </xf>
    <xf numFmtId="0" fontId="4" fillId="3" borderId="0" xfId="0" applyFont="1" applyFill="1" applyBorder="1"/>
    <xf numFmtId="0" fontId="0" fillId="3" borderId="0" xfId="0" applyFont="1" applyFill="1" applyBorder="1"/>
    <xf numFmtId="167" fontId="0" fillId="3" borderId="0" xfId="1" applyNumberFormat="1" applyFont="1" applyFill="1" applyBorder="1" applyAlignment="1">
      <alignment horizontal="center"/>
    </xf>
    <xf numFmtId="0" fontId="27" fillId="3" borderId="0" xfId="0" applyFont="1" applyFill="1" applyBorder="1"/>
    <xf numFmtId="167" fontId="27" fillId="3" borderId="0" xfId="1" applyNumberFormat="1" applyFont="1" applyFill="1" applyBorder="1"/>
    <xf numFmtId="0" fontId="2" fillId="3" borderId="0" xfId="0" applyFont="1" applyFill="1"/>
    <xf numFmtId="167" fontId="2" fillId="3" borderId="0" xfId="0" applyNumberFormat="1" applyFont="1" applyFill="1"/>
    <xf numFmtId="0" fontId="18" fillId="3" borderId="0" xfId="0" applyFont="1" applyFill="1"/>
    <xf numFmtId="167" fontId="18" fillId="3" borderId="0" xfId="0" applyNumberFormat="1" applyFont="1" applyFill="1"/>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162823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C22" sqref="C22"/>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125" t="s">
        <v>78</v>
      </c>
      <c r="H2" s="125"/>
    </row>
    <row r="3" spans="2:8" x14ac:dyDescent="0.3">
      <c r="G3" s="125"/>
      <c r="H3" s="125"/>
    </row>
    <row r="4" spans="2:8" x14ac:dyDescent="0.3">
      <c r="G4" s="125"/>
      <c r="H4" s="125"/>
    </row>
    <row r="5" spans="2:8" ht="24.75" customHeight="1" x14ac:dyDescent="0.3">
      <c r="G5" s="125"/>
      <c r="H5" s="125"/>
    </row>
    <row r="6" spans="2:8" x14ac:dyDescent="0.3">
      <c r="G6" s="125"/>
      <c r="H6" s="125"/>
    </row>
    <row r="8" spans="2:8" ht="18" x14ac:dyDescent="0.35">
      <c r="B8" s="122" t="s">
        <v>39</v>
      </c>
      <c r="C8" s="122"/>
      <c r="D8" s="122"/>
      <c r="E8" s="122"/>
      <c r="F8" s="122"/>
      <c r="G8" s="122"/>
      <c r="H8" s="122"/>
    </row>
    <row r="10" spans="2:8" x14ac:dyDescent="0.3">
      <c r="B10" s="48" t="s">
        <v>40</v>
      </c>
      <c r="C10" s="123" t="s">
        <v>32</v>
      </c>
      <c r="D10" s="123"/>
      <c r="E10" s="123"/>
      <c r="F10" s="123"/>
      <c r="G10" s="123"/>
      <c r="H10" s="123"/>
    </row>
    <row r="11" spans="2:8" x14ac:dyDescent="0.3">
      <c r="B11" s="47"/>
      <c r="C11" s="11"/>
      <c r="D11" s="11"/>
      <c r="E11" s="11"/>
      <c r="F11" s="11"/>
      <c r="G11" s="11"/>
      <c r="H11" s="11"/>
    </row>
    <row r="12" spans="2:8" x14ac:dyDescent="0.3">
      <c r="B12" s="49" t="s">
        <v>41</v>
      </c>
      <c r="C12" s="124" t="s">
        <v>33</v>
      </c>
      <c r="D12" s="124"/>
      <c r="E12" s="124"/>
      <c r="F12" s="124"/>
      <c r="G12" s="124"/>
      <c r="H12" s="124"/>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Y42"/>
  <sheetViews>
    <sheetView workbookViewId="0">
      <pane xSplit="3" ySplit="10" topLeftCell="D11" activePane="bottomRight" state="frozen"/>
      <selection pane="topRight" activeCell="D1" sqref="D1"/>
      <selection pane="bottomLeft" activeCell="A11" sqref="A11"/>
      <selection pane="bottomRight" activeCell="C27" sqref="C27"/>
    </sheetView>
  </sheetViews>
  <sheetFormatPr baseColWidth="10" defaultRowHeight="14.4" x14ac:dyDescent="0.3"/>
  <cols>
    <col min="1" max="1" width="2.109375" style="108" customWidth="1"/>
    <col min="2" max="2" width="19.5546875" style="108" customWidth="1"/>
    <col min="3" max="3" width="40.109375" style="108" customWidth="1"/>
    <col min="4" max="9" width="13" style="108" customWidth="1"/>
    <col min="10" max="28" width="13.88671875" style="108" customWidth="1"/>
    <col min="29" max="32" width="13" style="108" customWidth="1"/>
    <col min="33" max="33" width="13.109375" style="108" customWidth="1"/>
    <col min="34" max="50" width="13" style="108" customWidth="1"/>
    <col min="51" max="63" width="14.44140625" style="108" customWidth="1"/>
    <col min="64" max="69" width="16.88671875" style="108" customWidth="1"/>
    <col min="70" max="70" width="14.5546875" style="108" bestFit="1" customWidth="1"/>
    <col min="71" max="100" width="14.5546875" style="108" customWidth="1"/>
    <col min="101" max="101" width="15.33203125" style="108" customWidth="1"/>
    <col min="102" max="102" width="13.6640625" style="108" bestFit="1" customWidth="1"/>
    <col min="103" max="111" width="13.6640625" style="108" customWidth="1"/>
    <col min="112" max="112" width="14.21875" style="108" bestFit="1" customWidth="1"/>
    <col min="113" max="120" width="14.21875" style="108" customWidth="1"/>
    <col min="121" max="122" width="13.6640625" style="108" customWidth="1"/>
    <col min="123" max="123" width="14.21875" style="108" customWidth="1"/>
    <col min="124" max="124" width="12.44140625" style="108" customWidth="1"/>
    <col min="125" max="125" width="16.109375" style="108" customWidth="1"/>
    <col min="126" max="126" width="12.21875" style="108" customWidth="1"/>
    <col min="127" max="127" width="13.6640625" style="108" customWidth="1"/>
    <col min="128" max="16384" width="11.5546875" style="108"/>
  </cols>
  <sheetData>
    <row r="1" spans="2:129" ht="4.5" customHeight="1" x14ac:dyDescent="0.3"/>
    <row r="3" spans="2:129" ht="18" x14ac:dyDescent="0.3">
      <c r="B3" s="163"/>
      <c r="C3" s="163"/>
      <c r="D3" s="164" t="s">
        <v>30</v>
      </c>
      <c r="E3" s="164"/>
      <c r="F3" s="164"/>
      <c r="G3" s="164"/>
      <c r="H3" s="164"/>
      <c r="I3" s="164"/>
      <c r="J3" s="164"/>
      <c r="K3" s="164"/>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DT3" s="163"/>
      <c r="DU3" s="165"/>
    </row>
    <row r="4" spans="2:129" ht="15.6" x14ac:dyDescent="0.3">
      <c r="B4" s="166"/>
      <c r="C4" s="166"/>
      <c r="D4" s="167" t="s">
        <v>81</v>
      </c>
      <c r="E4" s="167"/>
      <c r="F4" s="167"/>
      <c r="G4" s="167"/>
      <c r="H4" s="167"/>
      <c r="I4" s="167"/>
      <c r="J4" s="167"/>
      <c r="K4" s="167"/>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DT4" s="166"/>
      <c r="DU4" s="168"/>
    </row>
    <row r="5" spans="2:129" x14ac:dyDescent="0.3">
      <c r="B5" s="169"/>
      <c r="C5" s="169"/>
      <c r="D5" s="167" t="s">
        <v>82</v>
      </c>
      <c r="E5" s="167"/>
      <c r="F5" s="167"/>
      <c r="G5" s="167"/>
      <c r="H5" s="167"/>
      <c r="I5" s="167"/>
      <c r="J5" s="167"/>
      <c r="K5" s="167"/>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DT5" s="169"/>
      <c r="DU5" s="170"/>
    </row>
    <row r="6" spans="2:129" x14ac:dyDescent="0.3">
      <c r="D6" s="171" t="s">
        <v>35</v>
      </c>
      <c r="E6" s="171"/>
      <c r="F6" s="171"/>
      <c r="G6" s="171"/>
      <c r="H6" s="171"/>
      <c r="I6" s="171"/>
      <c r="J6" s="171"/>
      <c r="K6" s="171"/>
    </row>
    <row r="7" spans="2:129" x14ac:dyDescent="0.3">
      <c r="D7" s="172" t="s">
        <v>34</v>
      </c>
      <c r="E7" s="172"/>
      <c r="F7" s="173"/>
      <c r="G7" s="173"/>
      <c r="H7" s="173"/>
      <c r="I7" s="173"/>
      <c r="J7" s="173"/>
      <c r="K7" s="173"/>
      <c r="AX7" s="174"/>
      <c r="AY7" s="174"/>
      <c r="AZ7" s="174"/>
      <c r="BA7" s="174"/>
      <c r="BB7" s="174"/>
      <c r="BC7" s="174"/>
      <c r="BD7" s="174"/>
      <c r="BE7" s="174"/>
      <c r="BF7" s="174"/>
      <c r="BG7" s="174"/>
      <c r="BH7" s="174"/>
      <c r="BI7" s="174"/>
      <c r="BJ7" s="174"/>
      <c r="BK7" s="174"/>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DT7" s="175"/>
    </row>
    <row r="8" spans="2:129" x14ac:dyDescent="0.3">
      <c r="BL8" s="176"/>
      <c r="BM8" s="176"/>
      <c r="BN8" s="176"/>
      <c r="BO8" s="176"/>
      <c r="BP8" s="176"/>
      <c r="BQ8" s="176"/>
      <c r="BR8" s="176"/>
      <c r="BS8" s="177"/>
      <c r="BT8" s="177"/>
      <c r="BU8" s="177"/>
      <c r="BV8" s="177"/>
      <c r="BW8" s="177"/>
      <c r="BX8" s="177"/>
      <c r="BY8" s="177"/>
      <c r="BZ8" s="177"/>
      <c r="CA8" s="177"/>
      <c r="CB8" s="177"/>
      <c r="CC8" s="177"/>
      <c r="CD8" s="177"/>
      <c r="CE8" s="177"/>
      <c r="CF8" s="177"/>
      <c r="CG8" s="177"/>
      <c r="CH8" s="177"/>
      <c r="CI8" s="177"/>
      <c r="DT8" s="176"/>
      <c r="DW8" s="175"/>
    </row>
    <row r="9" spans="2:129" ht="30" customHeight="1" x14ac:dyDescent="0.3">
      <c r="D9" s="151" t="s">
        <v>12</v>
      </c>
      <c r="E9" s="151"/>
      <c r="F9" s="151"/>
      <c r="G9" s="151"/>
      <c r="H9" s="151"/>
      <c r="I9" s="151"/>
      <c r="J9" s="151"/>
      <c r="K9" s="151"/>
      <c r="L9" s="151"/>
      <c r="M9" s="151"/>
      <c r="N9" s="151"/>
      <c r="O9" s="151"/>
      <c r="P9" s="151" t="s">
        <v>22</v>
      </c>
      <c r="Q9" s="151"/>
      <c r="R9" s="151"/>
      <c r="S9" s="151"/>
      <c r="T9" s="151"/>
      <c r="U9" s="151"/>
      <c r="V9" s="151"/>
      <c r="W9" s="151"/>
      <c r="X9" s="151"/>
      <c r="Y9" s="151"/>
      <c r="Z9" s="151"/>
      <c r="AA9" s="151"/>
      <c r="AB9" s="151" t="s">
        <v>23</v>
      </c>
      <c r="AC9" s="151"/>
      <c r="AD9" s="151"/>
      <c r="AE9" s="151"/>
      <c r="AF9" s="151"/>
      <c r="AG9" s="151"/>
      <c r="AH9" s="151"/>
      <c r="AI9" s="151"/>
      <c r="AJ9" s="151"/>
      <c r="AK9" s="151"/>
      <c r="AL9" s="151"/>
      <c r="AM9" s="151"/>
      <c r="AN9" s="152" t="s">
        <v>24</v>
      </c>
      <c r="AO9" s="152"/>
      <c r="AP9" s="152"/>
      <c r="AQ9" s="152"/>
      <c r="AR9" s="152"/>
      <c r="AS9" s="152"/>
      <c r="AT9" s="152"/>
      <c r="AU9" s="152"/>
      <c r="AV9" s="152"/>
      <c r="AW9" s="152"/>
      <c r="AX9" s="152"/>
      <c r="AY9" s="152"/>
      <c r="AZ9" s="152" t="s">
        <v>53</v>
      </c>
      <c r="BA9" s="152"/>
      <c r="BB9" s="152"/>
      <c r="BC9" s="152"/>
      <c r="BD9" s="152"/>
      <c r="BE9" s="152"/>
      <c r="BF9" s="152"/>
      <c r="BG9" s="152"/>
      <c r="BH9" s="152"/>
      <c r="BI9" s="152"/>
      <c r="BJ9" s="152"/>
      <c r="BK9" s="152"/>
      <c r="BL9" s="152" t="s">
        <v>62</v>
      </c>
      <c r="BM9" s="152"/>
      <c r="BN9" s="152"/>
      <c r="BO9" s="152"/>
      <c r="BP9" s="152"/>
      <c r="BQ9" s="152"/>
      <c r="BR9" s="152"/>
      <c r="BS9" s="152"/>
      <c r="BT9" s="152"/>
      <c r="BU9" s="152"/>
      <c r="BV9" s="152"/>
      <c r="BW9" s="152"/>
      <c r="BX9" s="152" t="s">
        <v>64</v>
      </c>
      <c r="BY9" s="152"/>
      <c r="BZ9" s="152"/>
      <c r="CA9" s="152"/>
      <c r="CB9" s="152"/>
      <c r="CC9" s="152"/>
      <c r="CD9" s="152"/>
      <c r="CE9" s="152"/>
      <c r="CF9" s="152"/>
      <c r="CG9" s="152"/>
      <c r="CH9" s="152"/>
      <c r="CI9" s="152"/>
      <c r="CJ9" s="152" t="s">
        <v>70</v>
      </c>
      <c r="CK9" s="152"/>
      <c r="CL9" s="152"/>
      <c r="CM9" s="152"/>
      <c r="CN9" s="152"/>
      <c r="CO9" s="152"/>
      <c r="CP9" s="152"/>
      <c r="CQ9" s="152"/>
      <c r="CR9" s="152"/>
      <c r="CS9" s="152"/>
      <c r="CT9" s="152"/>
      <c r="CU9" s="152"/>
      <c r="CV9" s="152" t="s">
        <v>73</v>
      </c>
      <c r="CW9" s="152"/>
      <c r="CX9" s="152"/>
      <c r="CY9" s="152"/>
      <c r="CZ9" s="152"/>
      <c r="DA9" s="152"/>
      <c r="DB9" s="152"/>
      <c r="DC9" s="152"/>
      <c r="DD9" s="152"/>
      <c r="DE9" s="152"/>
      <c r="DF9" s="152"/>
      <c r="DG9" s="152"/>
      <c r="DH9" s="143" t="s">
        <v>75</v>
      </c>
      <c r="DI9" s="144"/>
      <c r="DJ9" s="144"/>
      <c r="DK9" s="144"/>
      <c r="DL9" s="144"/>
      <c r="DM9" s="144"/>
      <c r="DN9" s="144"/>
      <c r="DO9" s="144"/>
      <c r="DP9" s="144"/>
      <c r="DQ9" s="144"/>
      <c r="DR9" s="145"/>
      <c r="DS9" s="121"/>
      <c r="DT9" s="153" t="s">
        <v>63</v>
      </c>
      <c r="DU9" s="153" t="s">
        <v>36</v>
      </c>
      <c r="DV9" s="153" t="s">
        <v>27</v>
      </c>
      <c r="DW9" s="153" t="s">
        <v>37</v>
      </c>
    </row>
    <row r="10" spans="2:129" ht="21.75" customHeight="1" x14ac:dyDescent="0.3">
      <c r="D10" s="12" t="s">
        <v>13</v>
      </c>
      <c r="E10" s="12" t="s">
        <v>0</v>
      </c>
      <c r="F10" s="12" t="s">
        <v>15</v>
      </c>
      <c r="G10" s="12" t="s">
        <v>16</v>
      </c>
      <c r="H10" s="12" t="s">
        <v>17</v>
      </c>
      <c r="I10" s="12" t="s">
        <v>14</v>
      </c>
      <c r="J10" s="12" t="s">
        <v>4</v>
      </c>
      <c r="K10" s="12" t="s">
        <v>18</v>
      </c>
      <c r="L10" s="12" t="s">
        <v>8</v>
      </c>
      <c r="M10" s="12" t="s">
        <v>9</v>
      </c>
      <c r="N10" s="13" t="s">
        <v>10</v>
      </c>
      <c r="O10" s="13" t="s">
        <v>11</v>
      </c>
      <c r="P10" s="13" t="s">
        <v>19</v>
      </c>
      <c r="Q10" s="13" t="s">
        <v>0</v>
      </c>
      <c r="R10" s="13" t="s">
        <v>15</v>
      </c>
      <c r="S10" s="13" t="s">
        <v>16</v>
      </c>
      <c r="T10" s="13" t="s">
        <v>17</v>
      </c>
      <c r="U10" s="13" t="s">
        <v>20</v>
      </c>
      <c r="V10" s="13" t="s">
        <v>4</v>
      </c>
      <c r="W10" s="13" t="s">
        <v>21</v>
      </c>
      <c r="X10" s="13" t="s">
        <v>8</v>
      </c>
      <c r="Y10" s="13" t="s">
        <v>9</v>
      </c>
      <c r="Z10" s="13" t="s">
        <v>10</v>
      </c>
      <c r="AA10" s="154" t="s">
        <v>11</v>
      </c>
      <c r="AB10" s="154" t="s">
        <v>19</v>
      </c>
      <c r="AC10" s="13" t="s">
        <v>0</v>
      </c>
      <c r="AD10" s="13" t="s">
        <v>15</v>
      </c>
      <c r="AE10" s="13" t="s">
        <v>16</v>
      </c>
      <c r="AF10" s="13"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83</v>
      </c>
      <c r="AZ10" s="13" t="s">
        <v>19</v>
      </c>
      <c r="BA10" s="13" t="s">
        <v>0</v>
      </c>
      <c r="BB10" s="13" t="s">
        <v>15</v>
      </c>
      <c r="BC10" s="13" t="s">
        <v>16</v>
      </c>
      <c r="BD10" s="13" t="s">
        <v>55</v>
      </c>
      <c r="BE10" s="13" t="s">
        <v>20</v>
      </c>
      <c r="BF10" s="13" t="s">
        <v>4</v>
      </c>
      <c r="BG10" s="13" t="s">
        <v>21</v>
      </c>
      <c r="BH10" s="13" t="s">
        <v>8</v>
      </c>
      <c r="BI10" s="13" t="s">
        <v>9</v>
      </c>
      <c r="BJ10" s="13" t="s">
        <v>10</v>
      </c>
      <c r="BK10" s="13" t="s">
        <v>11</v>
      </c>
      <c r="BL10" s="154" t="s">
        <v>19</v>
      </c>
      <c r="BM10" s="154" t="s">
        <v>0</v>
      </c>
      <c r="BN10" s="154" t="s">
        <v>15</v>
      </c>
      <c r="BO10" s="154" t="s">
        <v>16</v>
      </c>
      <c r="BP10" s="154" t="s">
        <v>17</v>
      </c>
      <c r="BQ10" s="154" t="s">
        <v>20</v>
      </c>
      <c r="BR10" s="154" t="s">
        <v>4</v>
      </c>
      <c r="BS10" s="154" t="s">
        <v>21</v>
      </c>
      <c r="BT10" s="154" t="s">
        <v>8</v>
      </c>
      <c r="BU10" s="154" t="s">
        <v>9</v>
      </c>
      <c r="BV10" s="154" t="s">
        <v>10</v>
      </c>
      <c r="BW10" s="154" t="s">
        <v>11</v>
      </c>
      <c r="BX10" s="154" t="s">
        <v>19</v>
      </c>
      <c r="BY10" s="154" t="s">
        <v>0</v>
      </c>
      <c r="BZ10" s="154" t="s">
        <v>15</v>
      </c>
      <c r="CA10" s="154" t="s">
        <v>16</v>
      </c>
      <c r="CB10" s="154" t="s">
        <v>17</v>
      </c>
      <c r="CC10" s="154" t="s">
        <v>20</v>
      </c>
      <c r="CD10" s="154" t="s">
        <v>4</v>
      </c>
      <c r="CE10" s="154" t="s">
        <v>21</v>
      </c>
      <c r="CF10" s="154" t="s">
        <v>8</v>
      </c>
      <c r="CG10" s="154" t="s">
        <v>69</v>
      </c>
      <c r="CH10" s="154" t="s">
        <v>10</v>
      </c>
      <c r="CI10" s="154" t="s">
        <v>11</v>
      </c>
      <c r="CJ10" s="154" t="s">
        <v>84</v>
      </c>
      <c r="CK10" s="154" t="s">
        <v>85</v>
      </c>
      <c r="CL10" s="154" t="s">
        <v>86</v>
      </c>
      <c r="CM10" s="154" t="s">
        <v>58</v>
      </c>
      <c r="CN10" s="154" t="s">
        <v>87</v>
      </c>
      <c r="CO10" s="154" t="s">
        <v>20</v>
      </c>
      <c r="CP10" s="154" t="s">
        <v>88</v>
      </c>
      <c r="CQ10" s="154" t="s">
        <v>89</v>
      </c>
      <c r="CR10" s="154" t="s">
        <v>8</v>
      </c>
      <c r="CS10" s="154" t="s">
        <v>9</v>
      </c>
      <c r="CT10" s="154" t="s">
        <v>10</v>
      </c>
      <c r="CU10" s="154" t="s">
        <v>11</v>
      </c>
      <c r="CV10" s="154" t="s">
        <v>13</v>
      </c>
      <c r="CW10" s="154" t="s">
        <v>0</v>
      </c>
      <c r="CX10" s="154" t="s">
        <v>15</v>
      </c>
      <c r="CY10" s="154" t="s">
        <v>16</v>
      </c>
      <c r="CZ10" s="154" t="s">
        <v>17</v>
      </c>
      <c r="DA10" s="154" t="s">
        <v>20</v>
      </c>
      <c r="DB10" s="154" t="s">
        <v>4</v>
      </c>
      <c r="DC10" s="154" t="s">
        <v>21</v>
      </c>
      <c r="DD10" s="154" t="s">
        <v>8</v>
      </c>
      <c r="DE10" s="154" t="s">
        <v>90</v>
      </c>
      <c r="DF10" s="154" t="s">
        <v>10</v>
      </c>
      <c r="DG10" s="154" t="s">
        <v>11</v>
      </c>
      <c r="DH10" s="154" t="s">
        <v>19</v>
      </c>
      <c r="DI10" s="154" t="s">
        <v>0</v>
      </c>
      <c r="DJ10" s="154" t="s">
        <v>15</v>
      </c>
      <c r="DK10" s="154" t="s">
        <v>16</v>
      </c>
      <c r="DL10" s="154" t="s">
        <v>17</v>
      </c>
      <c r="DM10" s="154" t="s">
        <v>20</v>
      </c>
      <c r="DN10" s="154" t="s">
        <v>4</v>
      </c>
      <c r="DO10" s="154" t="s">
        <v>21</v>
      </c>
      <c r="DP10" s="154" t="s">
        <v>8</v>
      </c>
      <c r="DQ10" s="154" t="s">
        <v>9</v>
      </c>
      <c r="DR10" s="154" t="s">
        <v>10</v>
      </c>
      <c r="DS10" s="154" t="s">
        <v>11</v>
      </c>
      <c r="DT10" s="153"/>
      <c r="DU10" s="153"/>
      <c r="DV10" s="153"/>
      <c r="DW10" s="153"/>
    </row>
    <row r="11" spans="2:129" s="15" customFormat="1" x14ac:dyDescent="0.3">
      <c r="B11" s="16" t="s">
        <v>91</v>
      </c>
      <c r="C11" s="17"/>
      <c r="D11" s="18">
        <v>636427.39296000008</v>
      </c>
      <c r="E11" s="18">
        <v>651437.4635800001</v>
      </c>
      <c r="F11" s="18">
        <v>665823.90379999997</v>
      </c>
      <c r="G11" s="18">
        <v>680703.87474</v>
      </c>
      <c r="H11" s="18">
        <v>695167.67573000002</v>
      </c>
      <c r="I11" s="18">
        <v>709798.50873999996</v>
      </c>
      <c r="J11" s="18">
        <v>656226.60291000002</v>
      </c>
      <c r="K11" s="18">
        <v>669350.04471000005</v>
      </c>
      <c r="L11" s="18">
        <v>682547.90467999992</v>
      </c>
      <c r="M11" s="18">
        <v>695863.45725999994</v>
      </c>
      <c r="N11" s="18">
        <v>709272.74294000003</v>
      </c>
      <c r="O11" s="18">
        <v>721287.74194000009</v>
      </c>
      <c r="P11" s="18">
        <v>736667.64346000005</v>
      </c>
      <c r="Q11" s="18">
        <v>753070.34011999995</v>
      </c>
      <c r="R11" s="18">
        <v>767946.32638999994</v>
      </c>
      <c r="S11" s="18">
        <v>783366.58709000004</v>
      </c>
      <c r="T11" s="18">
        <v>796985.0602999999</v>
      </c>
      <c r="U11" s="18">
        <v>798405.67434000003</v>
      </c>
      <c r="V11" s="18">
        <v>799898.35149000003</v>
      </c>
      <c r="W11" s="18">
        <v>841478.08945000009</v>
      </c>
      <c r="X11" s="18">
        <v>842832.95685000008</v>
      </c>
      <c r="Y11" s="18">
        <v>871525.97148000007</v>
      </c>
      <c r="Z11" s="18">
        <v>886742.42700000003</v>
      </c>
      <c r="AA11" s="18">
        <v>902376.56709000003</v>
      </c>
      <c r="AB11" s="18">
        <v>918452.70615999994</v>
      </c>
      <c r="AC11" s="18">
        <v>920000.40287999995</v>
      </c>
      <c r="AD11" s="18">
        <v>950377.26059000008</v>
      </c>
      <c r="AE11" s="18">
        <v>966835.73677999992</v>
      </c>
      <c r="AF11" s="18">
        <v>982862.01114999992</v>
      </c>
      <c r="AG11" s="18">
        <v>998471.15755999996</v>
      </c>
      <c r="AH11" s="18">
        <v>1014016.77933</v>
      </c>
      <c r="AI11" s="18">
        <v>1029421.15478</v>
      </c>
      <c r="AJ11" s="18">
        <v>1044316.50422</v>
      </c>
      <c r="AK11" s="18">
        <v>1059432.28819</v>
      </c>
      <c r="AL11" s="18">
        <v>1074228.9712799999</v>
      </c>
      <c r="AM11" s="18">
        <v>1089147.1566900001</v>
      </c>
      <c r="AN11" s="18">
        <v>1103945.5025299999</v>
      </c>
      <c r="AO11" s="155">
        <v>1118833.04669</v>
      </c>
      <c r="AP11" s="155">
        <v>1133971.13078</v>
      </c>
      <c r="AQ11" s="155">
        <v>1148916.96383</v>
      </c>
      <c r="AR11" s="155">
        <v>1164319.7718499999</v>
      </c>
      <c r="AS11" s="155">
        <v>1179435.98841</v>
      </c>
      <c r="AT11" s="155">
        <v>1194604.8214400001</v>
      </c>
      <c r="AU11" s="155">
        <v>1179519.1615800001</v>
      </c>
      <c r="AV11" s="155">
        <v>1194263.3730599999</v>
      </c>
      <c r="AW11" s="155">
        <v>1209408.28364</v>
      </c>
      <c r="AX11" s="155">
        <v>1225001.16102</v>
      </c>
      <c r="AY11" s="155">
        <v>1235529.96306</v>
      </c>
      <c r="AZ11" s="156">
        <v>1212962.2196299999</v>
      </c>
      <c r="BA11" s="156">
        <v>1229098.98756</v>
      </c>
      <c r="BB11" s="156">
        <v>1245162.81935</v>
      </c>
      <c r="BC11" s="156">
        <v>1260965.2733</v>
      </c>
      <c r="BD11" s="156">
        <v>1278301.1664499999</v>
      </c>
      <c r="BE11" s="156">
        <v>1294360.3786299999</v>
      </c>
      <c r="BF11" s="156">
        <v>1310727.05785</v>
      </c>
      <c r="BG11" s="156">
        <v>1327247.78828</v>
      </c>
      <c r="BH11" s="156">
        <v>1341818.7971199998</v>
      </c>
      <c r="BI11" s="156">
        <v>1359498.66035</v>
      </c>
      <c r="BJ11" s="156">
        <v>1375604.88686</v>
      </c>
      <c r="BK11" s="156">
        <v>1391981.5059</v>
      </c>
      <c r="BL11" s="156">
        <v>1407060.7225899999</v>
      </c>
      <c r="BM11" s="156">
        <v>1407060.7226</v>
      </c>
      <c r="BN11" s="156">
        <v>1437423.4697100001</v>
      </c>
      <c r="BO11" s="156">
        <v>1452875.2148599999</v>
      </c>
      <c r="BP11" s="156">
        <v>1468356.64014</v>
      </c>
      <c r="BQ11" s="156">
        <v>1483560.54684</v>
      </c>
      <c r="BR11" s="156">
        <v>1498740.96627</v>
      </c>
      <c r="BS11" s="156">
        <v>1513988.5929700001</v>
      </c>
      <c r="BT11" s="156">
        <v>1529308.7025100002</v>
      </c>
      <c r="BU11" s="156">
        <v>1544662.99456</v>
      </c>
      <c r="BV11" s="156">
        <v>1544662.99456</v>
      </c>
      <c r="BW11" s="156">
        <v>1600512.59745</v>
      </c>
      <c r="BX11" s="156">
        <v>1616029.9681599999</v>
      </c>
      <c r="BY11" s="156">
        <v>1631501.4346399999</v>
      </c>
      <c r="BZ11" s="156">
        <v>1646990.7033200001</v>
      </c>
      <c r="CA11" s="156">
        <v>1662754.8817900002</v>
      </c>
      <c r="CB11" s="156">
        <v>1678734.4581100002</v>
      </c>
      <c r="CC11" s="156">
        <v>1694613.6231199999</v>
      </c>
      <c r="CD11" s="156">
        <v>1710540.9056099998</v>
      </c>
      <c r="CE11" s="156">
        <v>1726488.9753399999</v>
      </c>
      <c r="CF11" s="156">
        <v>1742679.90637</v>
      </c>
      <c r="CG11" s="156">
        <v>1758823.0756600001</v>
      </c>
      <c r="CH11" s="156">
        <v>1774945.3194299999</v>
      </c>
      <c r="CI11" s="156">
        <v>1826938.3748300001</v>
      </c>
      <c r="CJ11" s="156">
        <v>1826938.3748300001</v>
      </c>
      <c r="CK11" s="156">
        <v>1860418.1999900001</v>
      </c>
      <c r="CL11" s="156">
        <v>1877337.3846100001</v>
      </c>
      <c r="CM11" s="156">
        <v>1877337.3846100001</v>
      </c>
      <c r="CN11" s="156">
        <v>1877337.38047</v>
      </c>
      <c r="CO11" s="156">
        <v>1877343.20456</v>
      </c>
      <c r="CP11" s="156">
        <v>1944561.6139199999</v>
      </c>
      <c r="CQ11" s="156">
        <v>1961547.44334</v>
      </c>
      <c r="CR11" s="156">
        <v>1978650.7178720001</v>
      </c>
      <c r="CS11" s="156">
        <v>1996023.0040599999</v>
      </c>
      <c r="CT11" s="156">
        <v>2013726.6694199999</v>
      </c>
      <c r="CU11" s="156">
        <v>2075746.78498</v>
      </c>
      <c r="CV11" s="156">
        <v>2075746.78498</v>
      </c>
      <c r="CW11" s="156">
        <v>2075746.78498</v>
      </c>
      <c r="CX11" s="156">
        <v>2075746.78498</v>
      </c>
      <c r="CY11" s="156">
        <v>2131397.8186400002</v>
      </c>
      <c r="CZ11" s="156">
        <v>2168807.4674699996</v>
      </c>
      <c r="DA11" s="156">
        <v>2187702.5386199998</v>
      </c>
      <c r="DB11" s="156">
        <v>2187844.6776300003</v>
      </c>
      <c r="DC11" s="156">
        <v>2225915.5757600004</v>
      </c>
      <c r="DD11" s="156">
        <v>2245094.7878899998</v>
      </c>
      <c r="DE11" s="156">
        <v>2245094.7878899998</v>
      </c>
      <c r="DF11" s="156">
        <v>2284322.30853</v>
      </c>
      <c r="DG11" s="156">
        <v>2352514.7994400002</v>
      </c>
      <c r="DH11" s="156">
        <v>2372815.8936600001</v>
      </c>
      <c r="DI11" s="156">
        <v>2393271.6022600001</v>
      </c>
      <c r="DJ11" s="156">
        <v>2413889.7362100002</v>
      </c>
      <c r="DK11" s="156">
        <v>2434350.0183200003</v>
      </c>
      <c r="DL11" s="156">
        <v>2442982.7443000004</v>
      </c>
      <c r="DM11" s="156">
        <v>2475362.7649099999</v>
      </c>
      <c r="DN11" s="156">
        <v>2496108.7706500003</v>
      </c>
      <c r="DO11" s="156">
        <v>2516650.3578600003</v>
      </c>
      <c r="DP11" s="156">
        <v>2537189.9470900004</v>
      </c>
      <c r="DQ11" s="156">
        <v>2539920.96532</v>
      </c>
      <c r="DR11" s="156">
        <v>2542317.1024499997</v>
      </c>
      <c r="DS11" s="156">
        <v>2601304.7226499999</v>
      </c>
      <c r="DT11" s="117">
        <v>2.3202306330376565E-2</v>
      </c>
      <c r="DU11" s="117">
        <v>1.0045795744665797E-2</v>
      </c>
      <c r="DV11" s="117">
        <v>0.1057548812314475</v>
      </c>
      <c r="DW11" s="117">
        <v>0.13406093023080334</v>
      </c>
      <c r="DX11" s="108"/>
      <c r="DY11" s="108"/>
    </row>
    <row r="12" spans="2:129" s="20" customFormat="1" ht="19.5" customHeight="1" x14ac:dyDescent="0.3">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33"/>
      <c r="DY12" s="108"/>
    </row>
    <row r="13" spans="2:129" s="15" customFormat="1" x14ac:dyDescent="0.3">
      <c r="B13" s="157" t="s">
        <v>92</v>
      </c>
      <c r="C13" s="157"/>
      <c r="D13" s="18">
        <v>23039730.399069998</v>
      </c>
      <c r="E13" s="18">
        <v>23216502.394959997</v>
      </c>
      <c r="F13" s="18">
        <v>23200134.916060001</v>
      </c>
      <c r="G13" s="18">
        <v>22931971.211789995</v>
      </c>
      <c r="H13" s="18">
        <v>23465511.547910001</v>
      </c>
      <c r="I13" s="18">
        <v>23583851.294439998</v>
      </c>
      <c r="J13" s="18">
        <v>23775923.11101</v>
      </c>
      <c r="K13" s="18">
        <v>23950831.631220002</v>
      </c>
      <c r="L13" s="18">
        <v>23859950.107140001</v>
      </c>
      <c r="M13" s="18">
        <v>24297588.58997</v>
      </c>
      <c r="N13" s="18">
        <v>24982216.66003</v>
      </c>
      <c r="O13" s="18">
        <v>26216643.96012</v>
      </c>
      <c r="P13" s="18">
        <v>25681871.336139999</v>
      </c>
      <c r="Q13" s="18">
        <v>25687026.506510001</v>
      </c>
      <c r="R13" s="18">
        <v>26133854.378850002</v>
      </c>
      <c r="S13" s="18">
        <v>26074140.737900008</v>
      </c>
      <c r="T13" s="18">
        <v>26210496.120870002</v>
      </c>
      <c r="U13" s="18">
        <v>26485196.583020002</v>
      </c>
      <c r="V13" s="18">
        <v>26921686.813659996</v>
      </c>
      <c r="W13" s="18">
        <v>27260698.393219996</v>
      </c>
      <c r="X13" s="18">
        <v>27440200.829380002</v>
      </c>
      <c r="Y13" s="18">
        <v>27489642.7958</v>
      </c>
      <c r="Z13" s="18">
        <v>27725132.53864</v>
      </c>
      <c r="AA13" s="18">
        <v>28882605.387319997</v>
      </c>
      <c r="AB13" s="18">
        <v>28145377.839000005</v>
      </c>
      <c r="AC13" s="18">
        <v>28170075.067880005</v>
      </c>
      <c r="AD13" s="18">
        <v>28261236.102080006</v>
      </c>
      <c r="AE13" s="18">
        <v>27601335.485939998</v>
      </c>
      <c r="AF13" s="18">
        <v>27457791.189799998</v>
      </c>
      <c r="AG13" s="18">
        <v>27134906.566179998</v>
      </c>
      <c r="AH13" s="18">
        <v>26290670.617379989</v>
      </c>
      <c r="AI13" s="18">
        <v>26534075.271300007</v>
      </c>
      <c r="AJ13" s="18">
        <v>26058802</v>
      </c>
      <c r="AK13" s="18">
        <v>25780318.975729998</v>
      </c>
      <c r="AL13" s="18">
        <v>25547959.600619998</v>
      </c>
      <c r="AM13" s="18">
        <v>25755769.158399999</v>
      </c>
      <c r="AN13" s="18">
        <v>26013789.543090001</v>
      </c>
      <c r="AO13" s="18">
        <v>26402874.751709998</v>
      </c>
      <c r="AP13" s="18">
        <v>27147236.43228</v>
      </c>
      <c r="AQ13" s="18">
        <v>26820229.364300001</v>
      </c>
      <c r="AR13" s="18">
        <v>26574054.37074</v>
      </c>
      <c r="AS13" s="18">
        <v>27085158.349300001</v>
      </c>
      <c r="AT13" s="18">
        <v>26398590.631409999</v>
      </c>
      <c r="AU13" s="18">
        <v>26969030.276999999</v>
      </c>
      <c r="AV13" s="18">
        <v>27445831.604499988</v>
      </c>
      <c r="AW13" s="18">
        <v>27559048.672499999</v>
      </c>
      <c r="AX13" s="18">
        <v>27774226.882909998</v>
      </c>
      <c r="AY13" s="18">
        <v>29330985.643129196</v>
      </c>
      <c r="AZ13" s="18">
        <v>28641769.848919999</v>
      </c>
      <c r="BA13" s="18">
        <v>28980349.145030007</v>
      </c>
      <c r="BB13" s="18">
        <v>29763766.873709995</v>
      </c>
      <c r="BC13" s="18">
        <v>29352869.943109989</v>
      </c>
      <c r="BD13" s="18">
        <v>28903842.818229999</v>
      </c>
      <c r="BE13" s="18">
        <v>29283355.283360001</v>
      </c>
      <c r="BF13" s="18">
        <v>28993262.167970017</v>
      </c>
      <c r="BG13" s="18">
        <v>28945101.439199995</v>
      </c>
      <c r="BH13" s="18">
        <v>28751593.479649998</v>
      </c>
      <c r="BI13" s="18">
        <v>28981707.340839997</v>
      </c>
      <c r="BJ13" s="18">
        <v>29521608.930680003</v>
      </c>
      <c r="BK13" s="18">
        <v>30542308.711770006</v>
      </c>
      <c r="BL13" s="18">
        <v>30041395.127980001</v>
      </c>
      <c r="BM13" s="18">
        <v>30263475.35021</v>
      </c>
      <c r="BN13" s="18">
        <v>30780057.142740361</v>
      </c>
      <c r="BO13" s="18">
        <v>30341874.32192</v>
      </c>
      <c r="BP13" s="18">
        <v>30191131.354819994</v>
      </c>
      <c r="BQ13" s="18">
        <v>30280018.384389993</v>
      </c>
      <c r="BR13" s="18">
        <v>30342062.232380003</v>
      </c>
      <c r="BS13" s="18">
        <v>30407710.533650003</v>
      </c>
      <c r="BT13" s="18">
        <v>30205250.58732</v>
      </c>
      <c r="BU13" s="18">
        <v>30088816.197620001</v>
      </c>
      <c r="BV13" s="18">
        <v>30432248.193460006</v>
      </c>
      <c r="BW13" s="18">
        <v>31092718.46407</v>
      </c>
      <c r="BX13" s="18">
        <v>30781958.541850008</v>
      </c>
      <c r="BY13" s="18">
        <v>31149976.416720007</v>
      </c>
      <c r="BZ13" s="18">
        <v>31350277.545699999</v>
      </c>
      <c r="CA13" s="18">
        <v>31591729.624090001</v>
      </c>
      <c r="CB13" s="18">
        <v>31363789.168480001</v>
      </c>
      <c r="CC13" s="18">
        <v>31498400.114229999</v>
      </c>
      <c r="CD13" s="18">
        <v>31854132.662289999</v>
      </c>
      <c r="CE13" s="18">
        <v>31980076.376880001</v>
      </c>
      <c r="CF13" s="18">
        <v>31910379.936179999</v>
      </c>
      <c r="CG13" s="18">
        <v>31961715.841680005</v>
      </c>
      <c r="CH13" s="18">
        <v>32106356.202779993</v>
      </c>
      <c r="CI13" s="18">
        <v>33660322.116149999</v>
      </c>
      <c r="CJ13" s="18">
        <v>33448110.218619999</v>
      </c>
      <c r="CK13" s="18">
        <v>33886236.101609997</v>
      </c>
      <c r="CL13" s="18">
        <v>33179942.971859999</v>
      </c>
      <c r="CM13" s="18">
        <v>33052499.539790001</v>
      </c>
      <c r="CN13" s="18">
        <v>33265483.239289999</v>
      </c>
      <c r="CO13" s="18">
        <v>33601255.443259999</v>
      </c>
      <c r="CP13" s="18">
        <v>33891167.779730007</v>
      </c>
      <c r="CQ13" s="18">
        <v>34226546.894709997</v>
      </c>
      <c r="CR13" s="18">
        <v>34685771.214939997</v>
      </c>
      <c r="CS13" s="18">
        <v>35701515.533320002</v>
      </c>
      <c r="CT13" s="18">
        <v>35646719.195469998</v>
      </c>
      <c r="CU13" s="18">
        <v>37544662.24385</v>
      </c>
      <c r="CV13" s="18">
        <v>37083376.856680006</v>
      </c>
      <c r="CW13" s="18">
        <v>36969565.690809995</v>
      </c>
      <c r="CX13" s="18">
        <v>37735591.78994</v>
      </c>
      <c r="CY13" s="18">
        <v>37470887.645889997</v>
      </c>
      <c r="CZ13" s="18">
        <v>37681187.612470001</v>
      </c>
      <c r="DA13" s="18">
        <v>37969327.060010001</v>
      </c>
      <c r="DB13" s="18">
        <v>38242095.933669999</v>
      </c>
      <c r="DC13" s="18">
        <v>38543016.33168</v>
      </c>
      <c r="DD13" s="18">
        <v>38993444.576919995</v>
      </c>
      <c r="DE13" s="18">
        <v>39298897.03706</v>
      </c>
      <c r="DF13" s="18">
        <v>39583133.177680001</v>
      </c>
      <c r="DG13" s="18">
        <v>41158397.017930001</v>
      </c>
      <c r="DH13" s="18">
        <v>40412864.009279996</v>
      </c>
      <c r="DI13" s="18">
        <v>41022016.910190001</v>
      </c>
      <c r="DJ13" s="18">
        <v>41688909.672830001</v>
      </c>
      <c r="DK13" s="18">
        <v>41027343.04896</v>
      </c>
      <c r="DL13" s="18">
        <v>40950889.163550004</v>
      </c>
      <c r="DM13" s="18">
        <v>40880378.272780001</v>
      </c>
      <c r="DN13" s="18">
        <v>40966254.164589994</v>
      </c>
      <c r="DO13" s="18">
        <v>41665888.783050001</v>
      </c>
      <c r="DP13" s="18">
        <v>41814622.692830004</v>
      </c>
      <c r="DQ13" s="18">
        <v>41946179.551069997</v>
      </c>
      <c r="DR13" s="18">
        <v>42093265.238239996</v>
      </c>
      <c r="DS13" s="18">
        <v>43735628.131730005</v>
      </c>
      <c r="DT13" s="117">
        <v>3.9017236705077174E-2</v>
      </c>
      <c r="DU13" s="117">
        <v>7.703362573750816E-3</v>
      </c>
      <c r="DV13" s="117">
        <v>6.2617383098697355E-2</v>
      </c>
      <c r="DW13" s="117">
        <v>8.2725802104693491E-2</v>
      </c>
      <c r="DX13" s="178"/>
      <c r="DY13" s="108"/>
    </row>
    <row r="14" spans="2:129" s="15" customFormat="1" x14ac:dyDescent="0.3">
      <c r="B14" s="158" t="s">
        <v>5</v>
      </c>
      <c r="C14" s="159"/>
      <c r="D14" s="109">
        <v>6994144.8533399999</v>
      </c>
      <c r="E14" s="109">
        <v>7016510.9826600002</v>
      </c>
      <c r="F14" s="109">
        <v>7129651.9875499988</v>
      </c>
      <c r="G14" s="109">
        <v>7387845.6044899998</v>
      </c>
      <c r="H14" s="109">
        <v>7389606.5550800003</v>
      </c>
      <c r="I14" s="109">
        <v>7408486.0351900002</v>
      </c>
      <c r="J14" s="109">
        <v>7366062.3362400001</v>
      </c>
      <c r="K14" s="109">
        <v>7492864.99003</v>
      </c>
      <c r="L14" s="109">
        <v>7373271.61527</v>
      </c>
      <c r="M14" s="109">
        <v>7414100.9293900002</v>
      </c>
      <c r="N14" s="109">
        <v>7519913.2250199998</v>
      </c>
      <c r="O14" s="109">
        <v>8002418.0117699997</v>
      </c>
      <c r="P14" s="109">
        <v>7885243.9346899996</v>
      </c>
      <c r="Q14" s="109">
        <v>7946124.03632</v>
      </c>
      <c r="R14" s="109">
        <v>7962113.3195799999</v>
      </c>
      <c r="S14" s="109">
        <v>8436918.516760001</v>
      </c>
      <c r="T14" s="109">
        <v>8317596.8514700001</v>
      </c>
      <c r="U14" s="109">
        <v>8224902.3901399998</v>
      </c>
      <c r="V14" s="109">
        <v>8224439.7081400007</v>
      </c>
      <c r="W14" s="109">
        <v>8361600.9384699995</v>
      </c>
      <c r="X14" s="109">
        <v>8196735.8712600004</v>
      </c>
      <c r="Y14" s="109">
        <v>8259716.5804599989</v>
      </c>
      <c r="Z14" s="109">
        <v>8268984.0529199997</v>
      </c>
      <c r="AA14" s="109">
        <v>8772604.8428299986</v>
      </c>
      <c r="AB14" s="109">
        <v>8482294.7514300011</v>
      </c>
      <c r="AC14" s="109">
        <v>8462893.1820700001</v>
      </c>
      <c r="AD14" s="109">
        <v>8420230.5559</v>
      </c>
      <c r="AE14" s="109">
        <v>8688945.2386700008</v>
      </c>
      <c r="AF14" s="109">
        <v>8534573.7641599998</v>
      </c>
      <c r="AG14" s="109">
        <v>8382193.6753199995</v>
      </c>
      <c r="AH14" s="109">
        <v>8082081.0424599983</v>
      </c>
      <c r="AI14" s="109">
        <v>8217852.2402499998</v>
      </c>
      <c r="AJ14" s="109">
        <v>8148560</v>
      </c>
      <c r="AK14" s="109">
        <v>8075233.8384099994</v>
      </c>
      <c r="AL14" s="109">
        <v>7946083.8174200011</v>
      </c>
      <c r="AM14" s="109">
        <v>8230305.7760099992</v>
      </c>
      <c r="AN14" s="109">
        <v>7992056.4887700006</v>
      </c>
      <c r="AO14" s="109">
        <v>7901705.4159800019</v>
      </c>
      <c r="AP14" s="109">
        <v>7899833.4091200018</v>
      </c>
      <c r="AQ14" s="109">
        <v>8195999.4153999984</v>
      </c>
      <c r="AR14" s="109">
        <v>7931478.9655700009</v>
      </c>
      <c r="AS14" s="109">
        <v>8017643.3945500003</v>
      </c>
      <c r="AT14" s="109">
        <v>7752000.8466100004</v>
      </c>
      <c r="AU14" s="109">
        <v>7726612.8368399991</v>
      </c>
      <c r="AV14" s="109">
        <v>7797343.7965700002</v>
      </c>
      <c r="AW14" s="109">
        <v>7829862.4754999997</v>
      </c>
      <c r="AX14" s="109">
        <v>7820966.6675699996</v>
      </c>
      <c r="AY14" s="109">
        <v>8329910.8248300254</v>
      </c>
      <c r="AZ14" s="109">
        <v>8017671.641289996</v>
      </c>
      <c r="BA14" s="109">
        <v>8194147.8079699995</v>
      </c>
      <c r="BB14" s="109">
        <v>8154621.3496000022</v>
      </c>
      <c r="BC14" s="109">
        <v>8449901.6292599998</v>
      </c>
      <c r="BD14" s="109">
        <v>8183348.7095799996</v>
      </c>
      <c r="BE14" s="109">
        <v>8255025.81831</v>
      </c>
      <c r="BF14" s="109">
        <v>8140483.8602500129</v>
      </c>
      <c r="BG14" s="109">
        <v>8213908.9264799999</v>
      </c>
      <c r="BH14" s="109">
        <v>8203236.0456600031</v>
      </c>
      <c r="BI14" s="109">
        <v>8091128.8479399998</v>
      </c>
      <c r="BJ14" s="109">
        <v>8050809.9094900014</v>
      </c>
      <c r="BK14" s="109">
        <v>8650004.6982900035</v>
      </c>
      <c r="BL14" s="109">
        <v>8310858.1372100022</v>
      </c>
      <c r="BM14" s="109">
        <v>8323366.7159500001</v>
      </c>
      <c r="BN14" s="109">
        <v>8450757.7545599788</v>
      </c>
      <c r="BO14" s="109">
        <v>8825815.8784899991</v>
      </c>
      <c r="BP14" s="109">
        <v>8557664.3405399993</v>
      </c>
      <c r="BQ14" s="109">
        <v>8601266.203639999</v>
      </c>
      <c r="BR14" s="109">
        <v>8460620.9899799991</v>
      </c>
      <c r="BS14" s="109">
        <v>8473243.6787500009</v>
      </c>
      <c r="BT14" s="109">
        <v>8463246.6894399989</v>
      </c>
      <c r="BU14" s="109">
        <v>8362267.5649700006</v>
      </c>
      <c r="BV14" s="109">
        <v>8278799.0685600014</v>
      </c>
      <c r="BW14" s="109">
        <v>8840520.8093599994</v>
      </c>
      <c r="BX14" s="109">
        <v>8506891.37029</v>
      </c>
      <c r="BY14" s="109">
        <v>8463755.8168972246</v>
      </c>
      <c r="BZ14" s="109">
        <v>8425012.33025866</v>
      </c>
      <c r="CA14" s="109">
        <v>8728136.4571800008</v>
      </c>
      <c r="CB14" s="109">
        <v>8638170.8062100001</v>
      </c>
      <c r="CC14" s="109">
        <v>8562888.1583399996</v>
      </c>
      <c r="CD14" s="109">
        <v>8551836.4122400004</v>
      </c>
      <c r="CE14" s="109">
        <v>8595287.5861600004</v>
      </c>
      <c r="CF14" s="109">
        <v>8267080.8469899995</v>
      </c>
      <c r="CG14" s="109">
        <v>8405022.306040002</v>
      </c>
      <c r="CH14" s="109">
        <v>8395217.4963600002</v>
      </c>
      <c r="CI14" s="109">
        <v>8895125.1687400006</v>
      </c>
      <c r="CJ14" s="109">
        <v>8681185.7494099997</v>
      </c>
      <c r="CK14" s="109">
        <v>8705181.4054400008</v>
      </c>
      <c r="CL14" s="109">
        <v>8594301.1356700007</v>
      </c>
      <c r="CM14" s="109">
        <v>9080813.7074100003</v>
      </c>
      <c r="CN14" s="109">
        <v>9052372.6055800002</v>
      </c>
      <c r="CO14" s="109">
        <v>8928932.01633</v>
      </c>
      <c r="CP14" s="109">
        <v>8920110.8383700009</v>
      </c>
      <c r="CQ14" s="109">
        <v>8914294.9202800002</v>
      </c>
      <c r="CR14" s="109">
        <v>8881844.4199599996</v>
      </c>
      <c r="CS14" s="109">
        <v>9149749.9479200002</v>
      </c>
      <c r="CT14" s="109">
        <v>8867915.7188000008</v>
      </c>
      <c r="CU14" s="109">
        <v>9701755.5800100099</v>
      </c>
      <c r="CV14" s="109">
        <v>9344801.4670600034</v>
      </c>
      <c r="CW14" s="109">
        <v>9227768.0694199987</v>
      </c>
      <c r="CX14" s="109">
        <v>9290987.3696499988</v>
      </c>
      <c r="CY14" s="109">
        <v>9580642.4872099999</v>
      </c>
      <c r="CZ14" s="109">
        <v>9375217.2566299997</v>
      </c>
      <c r="DA14" s="109">
        <v>9418231.1389500014</v>
      </c>
      <c r="DB14" s="109">
        <v>9527026.9313299991</v>
      </c>
      <c r="DC14" s="109">
        <v>9553334.2447600011</v>
      </c>
      <c r="DD14" s="109">
        <v>9646742.7308999989</v>
      </c>
      <c r="DE14" s="109">
        <v>9571497.721690001</v>
      </c>
      <c r="DF14" s="109">
        <v>9535457.9829300009</v>
      </c>
      <c r="DG14" s="109">
        <v>10008179.874399999</v>
      </c>
      <c r="DH14" s="109">
        <v>9728958.4117900003</v>
      </c>
      <c r="DI14" s="109">
        <v>9909039.0009400006</v>
      </c>
      <c r="DJ14" s="109">
        <v>9887262.3120300006</v>
      </c>
      <c r="DK14" s="109">
        <v>10385372.112879999</v>
      </c>
      <c r="DL14" s="109">
        <v>10100284.993379999</v>
      </c>
      <c r="DM14" s="109">
        <v>10016386.759819999</v>
      </c>
      <c r="DN14" s="109">
        <v>10056551.947530001</v>
      </c>
      <c r="DO14" s="109">
        <v>10157393.552340001</v>
      </c>
      <c r="DP14" s="109">
        <v>10153797.66086</v>
      </c>
      <c r="DQ14" s="109">
        <v>10030912.852790002</v>
      </c>
      <c r="DR14" s="109">
        <v>10025546.06693</v>
      </c>
      <c r="DS14" s="109">
        <v>10642422.095069999</v>
      </c>
      <c r="DT14" s="117">
        <v>6.1530416799421062E-2</v>
      </c>
      <c r="DU14" s="110">
        <v>8.4843148046873651E-3</v>
      </c>
      <c r="DV14" s="117">
        <v>6.3372384252638359E-2</v>
      </c>
      <c r="DW14" s="117">
        <v>5.6112257973827795E-2</v>
      </c>
      <c r="DX14" s="11"/>
      <c r="DY14" s="108"/>
    </row>
    <row r="15" spans="2:129" s="15" customFormat="1" x14ac:dyDescent="0.3">
      <c r="B15" s="158" t="s">
        <v>6</v>
      </c>
      <c r="C15" s="159"/>
      <c r="D15" s="109">
        <v>16045585.545729998</v>
      </c>
      <c r="E15" s="109">
        <v>16199991.412299998</v>
      </c>
      <c r="F15" s="109">
        <v>16070482.928510003</v>
      </c>
      <c r="G15" s="109">
        <v>15544125.607299995</v>
      </c>
      <c r="H15" s="109">
        <v>16075904.992830001</v>
      </c>
      <c r="I15" s="109">
        <v>16175365.259249996</v>
      </c>
      <c r="J15" s="109">
        <v>16409860.774769999</v>
      </c>
      <c r="K15" s="109">
        <v>16457966.641190002</v>
      </c>
      <c r="L15" s="109">
        <v>16486678.491870001</v>
      </c>
      <c r="M15" s="109">
        <v>16883487.660580002</v>
      </c>
      <c r="N15" s="109">
        <v>17462303.435010001</v>
      </c>
      <c r="O15" s="109">
        <v>18214225.948350001</v>
      </c>
      <c r="P15" s="109">
        <v>17796627.401450001</v>
      </c>
      <c r="Q15" s="109">
        <v>17740902.47019</v>
      </c>
      <c r="R15" s="109">
        <v>18171741.059270002</v>
      </c>
      <c r="S15" s="109">
        <v>17637222.221140005</v>
      </c>
      <c r="T15" s="109">
        <v>17892899.269400001</v>
      </c>
      <c r="U15" s="109">
        <v>18260294.192880001</v>
      </c>
      <c r="V15" s="109">
        <v>18697247.105519995</v>
      </c>
      <c r="W15" s="109">
        <v>18899097.454749998</v>
      </c>
      <c r="X15" s="109">
        <v>19243464.958120003</v>
      </c>
      <c r="Y15" s="109">
        <v>19229926.215340003</v>
      </c>
      <c r="Z15" s="109">
        <v>19456148.485720001</v>
      </c>
      <c r="AA15" s="109">
        <v>20110000.544489998</v>
      </c>
      <c r="AB15" s="109">
        <v>19663083.087570004</v>
      </c>
      <c r="AC15" s="109">
        <v>19707181.885810003</v>
      </c>
      <c r="AD15" s="109">
        <v>19841005.546180006</v>
      </c>
      <c r="AE15" s="109">
        <v>18912390.247269996</v>
      </c>
      <c r="AF15" s="109">
        <v>18923217.425639998</v>
      </c>
      <c r="AG15" s="109">
        <v>18752712.890859999</v>
      </c>
      <c r="AH15" s="109">
        <v>18208589.574919991</v>
      </c>
      <c r="AI15" s="109">
        <v>18316223.031050008</v>
      </c>
      <c r="AJ15" s="109">
        <v>17910242</v>
      </c>
      <c r="AK15" s="109">
        <v>17705085.137319997</v>
      </c>
      <c r="AL15" s="109">
        <v>17601875.783199996</v>
      </c>
      <c r="AM15" s="109">
        <v>17525463.38239</v>
      </c>
      <c r="AN15" s="109">
        <v>18021733.05432</v>
      </c>
      <c r="AO15" s="109">
        <v>18501169.335729994</v>
      </c>
      <c r="AP15" s="109">
        <v>19247403.023159999</v>
      </c>
      <c r="AQ15" s="109">
        <v>18624229.948900003</v>
      </c>
      <c r="AR15" s="109">
        <v>18642575.405170001</v>
      </c>
      <c r="AS15" s="109">
        <v>19067514.954750001</v>
      </c>
      <c r="AT15" s="109">
        <v>18646589.7848</v>
      </c>
      <c r="AU15" s="109">
        <v>19242417.440159999</v>
      </c>
      <c r="AV15" s="109">
        <v>19648487.807929989</v>
      </c>
      <c r="AW15" s="109">
        <v>19729186.197000001</v>
      </c>
      <c r="AX15" s="109">
        <v>19953260.21534</v>
      </c>
      <c r="AY15" s="109">
        <v>21001074.818299171</v>
      </c>
      <c r="AZ15" s="109">
        <v>20624098.207630001</v>
      </c>
      <c r="BA15" s="109">
        <v>20786201.337060008</v>
      </c>
      <c r="BB15" s="109">
        <v>21609145.524109993</v>
      </c>
      <c r="BC15" s="109">
        <v>20902968.313849989</v>
      </c>
      <c r="BD15" s="109">
        <v>20720494.108649999</v>
      </c>
      <c r="BE15" s="109">
        <v>21028329.465050001</v>
      </c>
      <c r="BF15" s="109">
        <v>20852778.307720006</v>
      </c>
      <c r="BG15" s="109">
        <v>20731192.512719996</v>
      </c>
      <c r="BH15" s="109">
        <v>20548357.433989994</v>
      </c>
      <c r="BI15" s="109">
        <v>20890578.492899999</v>
      </c>
      <c r="BJ15" s="109">
        <v>21470799.021190003</v>
      </c>
      <c r="BK15" s="109">
        <v>21892304.01348</v>
      </c>
      <c r="BL15" s="109">
        <v>21730536.990769997</v>
      </c>
      <c r="BM15" s="109">
        <v>21940108.634259999</v>
      </c>
      <c r="BN15" s="109">
        <v>22329299.388180383</v>
      </c>
      <c r="BO15" s="109">
        <v>21516058.443429999</v>
      </c>
      <c r="BP15" s="109">
        <v>21633467.014279995</v>
      </c>
      <c r="BQ15" s="109">
        <v>21678752.180749994</v>
      </c>
      <c r="BR15" s="109">
        <v>21881441.242400005</v>
      </c>
      <c r="BS15" s="109">
        <v>21934466.854900002</v>
      </c>
      <c r="BT15" s="109">
        <v>21742003.897880003</v>
      </c>
      <c r="BU15" s="109">
        <v>21726548.632649999</v>
      </c>
      <c r="BV15" s="109">
        <v>22153449.124900006</v>
      </c>
      <c r="BW15" s="109">
        <v>22252197.654710002</v>
      </c>
      <c r="BX15" s="109">
        <v>22275067.171560008</v>
      </c>
      <c r="BY15" s="109">
        <v>22686220.599822782</v>
      </c>
      <c r="BZ15" s="109">
        <v>22925265.215441339</v>
      </c>
      <c r="CA15" s="109">
        <v>22863593.16691</v>
      </c>
      <c r="CB15" s="109">
        <v>22725618.362270001</v>
      </c>
      <c r="CC15" s="109">
        <v>22935511.95589</v>
      </c>
      <c r="CD15" s="109">
        <v>23302296.250050001</v>
      </c>
      <c r="CE15" s="109">
        <v>23384788.790720001</v>
      </c>
      <c r="CF15" s="109">
        <v>23643299.089189999</v>
      </c>
      <c r="CG15" s="109">
        <v>23556693.535640001</v>
      </c>
      <c r="CH15" s="109">
        <v>23711138.706419993</v>
      </c>
      <c r="CI15" s="109">
        <v>24765196.947409999</v>
      </c>
      <c r="CJ15" s="109">
        <v>24766924.469209999</v>
      </c>
      <c r="CK15" s="109">
        <v>25181054.696169995</v>
      </c>
      <c r="CL15" s="109">
        <v>24585641.83619</v>
      </c>
      <c r="CM15" s="109">
        <v>23971685.832380001</v>
      </c>
      <c r="CN15" s="109">
        <v>24213110.633709997</v>
      </c>
      <c r="CO15" s="109">
        <v>24672323.426929999</v>
      </c>
      <c r="CP15" s="109">
        <v>24971056.941360004</v>
      </c>
      <c r="CQ15" s="109">
        <v>25312251.974429995</v>
      </c>
      <c r="CR15" s="109">
        <v>25803926.794979997</v>
      </c>
      <c r="CS15" s="109">
        <v>26551765.5854</v>
      </c>
      <c r="CT15" s="109">
        <v>26778803.476669997</v>
      </c>
      <c r="CU15" s="109">
        <v>27842906.663839988</v>
      </c>
      <c r="CV15" s="109">
        <v>27738575.389620002</v>
      </c>
      <c r="CW15" s="109">
        <v>27741797.621389996</v>
      </c>
      <c r="CX15" s="109">
        <v>28444604.420290001</v>
      </c>
      <c r="CY15" s="109">
        <v>27890245.158679999</v>
      </c>
      <c r="CZ15" s="109">
        <v>28305970.355840001</v>
      </c>
      <c r="DA15" s="109">
        <v>28551095.92106</v>
      </c>
      <c r="DB15" s="109">
        <v>28715069.00234</v>
      </c>
      <c r="DC15" s="109">
        <v>28989682.086920001</v>
      </c>
      <c r="DD15" s="109">
        <v>29346701.846019998</v>
      </c>
      <c r="DE15" s="109">
        <v>29727399.315370001</v>
      </c>
      <c r="DF15" s="109">
        <v>30047675.19475</v>
      </c>
      <c r="DG15" s="109">
        <v>31150217.143530004</v>
      </c>
      <c r="DH15" s="109">
        <v>30683905.597489998</v>
      </c>
      <c r="DI15" s="109">
        <v>31112977.909249999</v>
      </c>
      <c r="DJ15" s="109">
        <v>31801647.360799998</v>
      </c>
      <c r="DK15" s="109">
        <v>30641970.936080001</v>
      </c>
      <c r="DL15" s="109">
        <v>30850604.170170005</v>
      </c>
      <c r="DM15" s="109">
        <v>30863991.512960002</v>
      </c>
      <c r="DN15" s="109">
        <v>30909702.217059992</v>
      </c>
      <c r="DO15" s="109">
        <v>31508495.23071</v>
      </c>
      <c r="DP15" s="109">
        <v>31660825.031970002</v>
      </c>
      <c r="DQ15" s="109">
        <v>31915266.698279995</v>
      </c>
      <c r="DR15" s="109">
        <v>32067719.171309996</v>
      </c>
      <c r="DS15" s="109">
        <v>33093206.036660008</v>
      </c>
      <c r="DT15" s="117">
        <v>3.1978790255450473E-2</v>
      </c>
      <c r="DU15" s="110">
        <v>7.4540062956964803E-3</v>
      </c>
      <c r="DV15" s="117">
        <v>6.2374810556772298E-2</v>
      </c>
      <c r="DW15" s="117">
        <v>5.9113169818324485E-2</v>
      </c>
      <c r="DX15" s="11"/>
      <c r="DY15" s="108"/>
    </row>
    <row r="16" spans="2:129" s="15" customFormat="1" x14ac:dyDescent="0.3">
      <c r="B16" s="157" t="s">
        <v>45</v>
      </c>
      <c r="C16" s="157"/>
      <c r="D16" s="18">
        <v>9810215.8533399999</v>
      </c>
      <c r="E16" s="18">
        <v>9841726.9826599993</v>
      </c>
      <c r="F16" s="18">
        <v>9934128.9875499997</v>
      </c>
      <c r="G16" s="18">
        <v>10189780.604489999</v>
      </c>
      <c r="H16" s="18">
        <v>10289470.555080002</v>
      </c>
      <c r="I16" s="18">
        <v>10343628.035190001</v>
      </c>
      <c r="J16" s="18">
        <v>10320207.336239999</v>
      </c>
      <c r="K16" s="18">
        <v>10499430.99003</v>
      </c>
      <c r="L16" s="18">
        <v>10388827.61527</v>
      </c>
      <c r="M16" s="18">
        <v>10475877.92939</v>
      </c>
      <c r="N16" s="18">
        <v>10631600.225020001</v>
      </c>
      <c r="O16" s="18">
        <v>11271988.011770001</v>
      </c>
      <c r="P16" s="18">
        <v>11096539.93469</v>
      </c>
      <c r="Q16" s="18">
        <v>11146220.036320001</v>
      </c>
      <c r="R16" s="18">
        <v>11194977.31958</v>
      </c>
      <c r="S16" s="18">
        <v>11725398.516760001</v>
      </c>
      <c r="T16" s="18">
        <v>11642172.851469999</v>
      </c>
      <c r="U16" s="18">
        <v>11586406.390140001</v>
      </c>
      <c r="V16" s="18">
        <v>11603063.708139999</v>
      </c>
      <c r="W16" s="18">
        <v>11775296.938469999</v>
      </c>
      <c r="X16" s="18">
        <v>11607295.87126</v>
      </c>
      <c r="Y16" s="18">
        <v>11707876.580459999</v>
      </c>
      <c r="Z16" s="18">
        <v>11759992.052920001</v>
      </c>
      <c r="AA16" s="18">
        <v>12373372.84283</v>
      </c>
      <c r="AB16" s="18">
        <v>12019318.751430001</v>
      </c>
      <c r="AC16" s="18">
        <v>11991853.18207</v>
      </c>
      <c r="AD16" s="18">
        <v>11931526.555900002</v>
      </c>
      <c r="AE16" s="18">
        <v>12147633.238670001</v>
      </c>
      <c r="AF16" s="18">
        <v>12017325.76416</v>
      </c>
      <c r="AG16" s="18">
        <v>11817009.675319998</v>
      </c>
      <c r="AH16" s="18">
        <v>11353985.042459995</v>
      </c>
      <c r="AI16" s="18">
        <v>11561788.240250001</v>
      </c>
      <c r="AJ16" s="18">
        <v>11448304</v>
      </c>
      <c r="AK16" s="18">
        <v>11311809.838409999</v>
      </c>
      <c r="AL16" s="18">
        <v>11181923.81742</v>
      </c>
      <c r="AM16" s="18">
        <v>11475233.776010001</v>
      </c>
      <c r="AN16" s="18">
        <v>11240568.488770001</v>
      </c>
      <c r="AO16" s="18">
        <v>11134601.415980004</v>
      </c>
      <c r="AP16" s="18">
        <v>11114297.409120001</v>
      </c>
      <c r="AQ16" s="18">
        <v>11416895.415400002</v>
      </c>
      <c r="AR16" s="18">
        <v>11140470.965570001</v>
      </c>
      <c r="AS16" s="18">
        <v>11268523.394549999</v>
      </c>
      <c r="AT16" s="18">
        <v>10892224.84661</v>
      </c>
      <c r="AU16" s="18">
        <v>10890868.83684</v>
      </c>
      <c r="AV16" s="18">
        <v>11004703.796569996</v>
      </c>
      <c r="AW16" s="18">
        <v>11071942.475500001</v>
      </c>
      <c r="AX16" s="18">
        <v>11091014.667570001</v>
      </c>
      <c r="AY16" s="18">
        <v>11717110.824830029</v>
      </c>
      <c r="AZ16" s="18">
        <v>11351015.64129</v>
      </c>
      <c r="BA16" s="18">
        <v>11556131.80797</v>
      </c>
      <c r="BB16" s="18">
        <v>11543965.3496</v>
      </c>
      <c r="BC16" s="18">
        <v>11842861.629259996</v>
      </c>
      <c r="BD16" s="18">
        <v>11567540.70958</v>
      </c>
      <c r="BE16" s="18">
        <v>11642129.818310004</v>
      </c>
      <c r="BF16" s="18">
        <v>11511011.860250013</v>
      </c>
      <c r="BG16" s="18">
        <v>11601204.926479997</v>
      </c>
      <c r="BH16" s="18">
        <v>11580164.045660004</v>
      </c>
      <c r="BI16" s="18">
        <v>11465112.84794</v>
      </c>
      <c r="BJ16" s="18">
        <v>11480697.90949</v>
      </c>
      <c r="BK16" s="18">
        <v>12169812.69829</v>
      </c>
      <c r="BL16" s="18">
        <v>11815530.137209998</v>
      </c>
      <c r="BM16" s="18">
        <v>11821606.715949999</v>
      </c>
      <c r="BN16" s="18">
        <v>11957701.754559977</v>
      </c>
      <c r="BO16" s="18">
        <v>12406455.878489995</v>
      </c>
      <c r="BP16" s="18">
        <v>12156704.340540003</v>
      </c>
      <c r="BQ16" s="18">
        <v>12192658.203639999</v>
      </c>
      <c r="BR16" s="18">
        <v>12039820.989979999</v>
      </c>
      <c r="BS16" s="18">
        <v>12045915.678750001</v>
      </c>
      <c r="BT16" s="18">
        <v>12030606.689440001</v>
      </c>
      <c r="BU16" s="18">
        <v>11908475.56497</v>
      </c>
      <c r="BV16" s="18">
        <v>11857647.068560001</v>
      </c>
      <c r="BW16" s="18">
        <v>12494824.809359999</v>
      </c>
      <c r="BX16" s="18">
        <v>12149867.37029</v>
      </c>
      <c r="BY16" s="18">
        <v>12109131.816897228</v>
      </c>
      <c r="BZ16" s="18">
        <v>12055220.330258699</v>
      </c>
      <c r="CA16" s="18">
        <v>12406600.457180001</v>
      </c>
      <c r="CB16" s="18">
        <v>12337594.80621</v>
      </c>
      <c r="CC16" s="18">
        <v>12267976.15834</v>
      </c>
      <c r="CD16" s="18">
        <v>12263708.41224</v>
      </c>
      <c r="CE16" s="18">
        <v>12287788.748780001</v>
      </c>
      <c r="CF16" s="18">
        <v>11955889.541370001</v>
      </c>
      <c r="CG16" s="18">
        <v>12076123.844639998</v>
      </c>
      <c r="CH16" s="18">
        <v>12095118.884820001</v>
      </c>
      <c r="CI16" s="18">
        <v>12693557.168740001</v>
      </c>
      <c r="CJ16" s="18">
        <v>12466721.74941</v>
      </c>
      <c r="CK16" s="18">
        <v>12499700.498679999</v>
      </c>
      <c r="CL16" s="18">
        <v>12348959.08305</v>
      </c>
      <c r="CM16" s="18">
        <v>12835569.53764</v>
      </c>
      <c r="CN16" s="18">
        <v>12838101.6438</v>
      </c>
      <c r="CO16" s="18">
        <v>12755684.01633</v>
      </c>
      <c r="CP16" s="18">
        <v>12770552.62892</v>
      </c>
      <c r="CQ16" s="18">
        <v>12785874.74251</v>
      </c>
      <c r="CR16" s="18">
        <v>12811017.13731</v>
      </c>
      <c r="CS16" s="18">
        <v>13157749.94792</v>
      </c>
      <c r="CT16" s="18">
        <v>12900170.635980001</v>
      </c>
      <c r="CU16" s="18">
        <v>13892356.602910001</v>
      </c>
      <c r="CV16" s="18">
        <v>13471519.282380005</v>
      </c>
      <c r="CW16" s="18">
        <v>13345807.94675</v>
      </c>
      <c r="CX16" s="18">
        <v>13408459.369649999</v>
      </c>
      <c r="CY16" s="18">
        <v>13716714.647910001</v>
      </c>
      <c r="CZ16" s="18">
        <v>13577489.109520001</v>
      </c>
      <c r="DA16" s="18">
        <v>13634489.928309999</v>
      </c>
      <c r="DB16" s="18">
        <v>13778002.931329999</v>
      </c>
      <c r="DC16" s="18">
        <v>13803351.00925</v>
      </c>
      <c r="DD16" s="18">
        <v>13936581.95624</v>
      </c>
      <c r="DE16" s="18">
        <v>13823254.414620001</v>
      </c>
      <c r="DF16" s="18">
        <v>13806948.77932</v>
      </c>
      <c r="DG16" s="18">
        <v>14383570.261219999</v>
      </c>
      <c r="DH16" s="18">
        <v>14053599.538450001</v>
      </c>
      <c r="DI16" s="18">
        <v>14252921.21957</v>
      </c>
      <c r="DJ16" s="18">
        <v>14247343.041999999</v>
      </c>
      <c r="DK16" s="18">
        <v>14799292.112879999</v>
      </c>
      <c r="DL16" s="18">
        <v>14507697.07188</v>
      </c>
      <c r="DM16" s="18">
        <v>14424703.67625</v>
      </c>
      <c r="DN16" s="18">
        <v>14483620.36074</v>
      </c>
      <c r="DO16" s="18">
        <v>14614478.80651</v>
      </c>
      <c r="DP16" s="18">
        <v>14601637.655999999</v>
      </c>
      <c r="DQ16" s="18">
        <v>14490915.45517</v>
      </c>
      <c r="DR16" s="18">
        <v>14496591.86324</v>
      </c>
      <c r="DS16" s="18">
        <v>15243877.93407</v>
      </c>
      <c r="DT16" s="117">
        <v>5.1549086701195179E-2</v>
      </c>
      <c r="DU16" s="117">
        <v>7.6449185604141601E-3</v>
      </c>
      <c r="DV16" s="117">
        <v>5.9811830945026623E-2</v>
      </c>
      <c r="DW16" s="117">
        <v>9.0554836810335937E-2</v>
      </c>
      <c r="DX16" s="11"/>
      <c r="DY16" s="108"/>
    </row>
    <row r="17" spans="2:129" s="15" customFormat="1" x14ac:dyDescent="0.3">
      <c r="B17" s="29" t="s">
        <v>1</v>
      </c>
      <c r="C17" s="30"/>
      <c r="D17" s="110">
        <v>6.4873943904437237E-2</v>
      </c>
      <c r="E17" s="110">
        <v>6.6191377258052228E-2</v>
      </c>
      <c r="F17" s="110">
        <v>6.7023883486357724E-2</v>
      </c>
      <c r="G17" s="110">
        <v>6.6802603624268056E-2</v>
      </c>
      <c r="H17" s="110">
        <v>6.7561073430234916E-2</v>
      </c>
      <c r="I17" s="110">
        <v>6.8621812996870951E-2</v>
      </c>
      <c r="J17" s="110">
        <v>6.3586571619120749E-2</v>
      </c>
      <c r="K17" s="110">
        <v>6.3751078067525599E-2</v>
      </c>
      <c r="L17" s="110">
        <v>6.57001858108376E-2</v>
      </c>
      <c r="M17" s="110">
        <v>6.6425311744780835E-2</v>
      </c>
      <c r="N17" s="110">
        <v>6.6713639332564884E-2</v>
      </c>
      <c r="O17" s="110">
        <v>6.398939931331056E-2</v>
      </c>
      <c r="P17" s="110">
        <v>6.6387148408039318E-2</v>
      </c>
      <c r="Q17" s="110">
        <v>6.7562845311335801E-2</v>
      </c>
      <c r="R17" s="110">
        <v>6.8597399035982221E-2</v>
      </c>
      <c r="S17" s="110">
        <v>6.6809378459100968E-2</v>
      </c>
      <c r="T17" s="110">
        <v>6.8456728006694084E-2</v>
      </c>
      <c r="U17" s="110">
        <v>6.8908827073374618E-2</v>
      </c>
      <c r="V17" s="110">
        <v>6.8938546888167154E-2</v>
      </c>
      <c r="W17" s="110">
        <v>7.146130529421163E-2</v>
      </c>
      <c r="X17" s="110">
        <v>7.2612343667130846E-2</v>
      </c>
      <c r="Y17" s="110">
        <v>7.4439285850906881E-2</v>
      </c>
      <c r="Z17" s="110">
        <v>7.5403318557500404E-2</v>
      </c>
      <c r="AA17" s="110">
        <v>7.2928907788703728E-2</v>
      </c>
      <c r="AB17" s="110">
        <v>7.6414705787774109E-2</v>
      </c>
      <c r="AC17" s="110">
        <v>7.6718784737589002E-2</v>
      </c>
      <c r="AD17" s="110">
        <v>7.965261244128477E-2</v>
      </c>
      <c r="AE17" s="110">
        <v>7.9590461597262976E-2</v>
      </c>
      <c r="AF17" s="110">
        <v>8.1787082287579235E-2</v>
      </c>
      <c r="AG17" s="110">
        <v>8.4494401290482316E-2</v>
      </c>
      <c r="AH17" s="110">
        <v>8.9309328446173425E-2</v>
      </c>
      <c r="AI17" s="110">
        <v>8.9036499665015562E-2</v>
      </c>
      <c r="AJ17" s="110">
        <v>9.1220193333440489E-2</v>
      </c>
      <c r="AK17" s="110">
        <v>9.3657186897946915E-2</v>
      </c>
      <c r="AL17" s="110">
        <v>9.6068350028148938E-2</v>
      </c>
      <c r="AM17" s="110">
        <v>9.4912851271662921E-2</v>
      </c>
      <c r="AN17" s="110">
        <v>9.8210824802402785E-2</v>
      </c>
      <c r="AO17" s="110">
        <v>0.10048254130446813</v>
      </c>
      <c r="AP17" s="110">
        <v>0.10202814348386099</v>
      </c>
      <c r="AQ17" s="110">
        <v>0.10063304620275762</v>
      </c>
      <c r="AR17" s="110">
        <v>0.10451261669711893</v>
      </c>
      <c r="AS17" s="110">
        <v>0.10466641875903919</v>
      </c>
      <c r="AT17" s="110">
        <v>0.10967500563595126</v>
      </c>
      <c r="AU17" s="110">
        <v>0.10830349527212184</v>
      </c>
      <c r="AV17" s="110">
        <v>0.10852299118057446</v>
      </c>
      <c r="AW17" s="110">
        <v>0.10923180700371043</v>
      </c>
      <c r="AX17" s="110">
        <v>0.11044987295904399</v>
      </c>
      <c r="AY17" s="110">
        <v>0.10544663966493829</v>
      </c>
      <c r="AZ17" s="110">
        <v>0.10685935584634182</v>
      </c>
      <c r="BA17" s="110">
        <v>0.10635903155001386</v>
      </c>
      <c r="BB17" s="110">
        <v>0.10786266084843585</v>
      </c>
      <c r="BC17" s="110">
        <v>0.10647471133028781</v>
      </c>
      <c r="BD17" s="110">
        <v>0.11050760040907719</v>
      </c>
      <c r="BE17" s="110">
        <v>0.11117900236727407</v>
      </c>
      <c r="BF17" s="110">
        <v>0.11386723198298675</v>
      </c>
      <c r="BG17" s="110">
        <v>0.11440602908845517</v>
      </c>
      <c r="BH17" s="110">
        <v>0.11587217519797438</v>
      </c>
      <c r="BI17" s="110">
        <v>0.11857699774793483</v>
      </c>
      <c r="BJ17" s="110">
        <v>0.11981892544380236</v>
      </c>
      <c r="BK17" s="110">
        <v>0.11437986273162525</v>
      </c>
      <c r="BL17" s="110">
        <v>0.11908570383641282</v>
      </c>
      <c r="BM17" s="110">
        <v>0.11902449103653223</v>
      </c>
      <c r="BN17" s="110">
        <v>0.1202090083206708</v>
      </c>
      <c r="BO17" s="110">
        <v>0.11710638631125581</v>
      </c>
      <c r="BP17" s="110">
        <v>0.12078574908195681</v>
      </c>
      <c r="BQ17" s="110">
        <v>0.1216765468252934</v>
      </c>
      <c r="BR17" s="110">
        <v>0.1244819974912675</v>
      </c>
      <c r="BS17" s="110">
        <v>0.12568480747717686</v>
      </c>
      <c r="BT17" s="110">
        <v>0.12711816968070014</v>
      </c>
      <c r="BU17" s="110">
        <v>0.12971122845511682</v>
      </c>
      <c r="BV17" s="110">
        <v>0.13026724320844413</v>
      </c>
      <c r="BW17" s="110">
        <v>0.12809404068243035</v>
      </c>
      <c r="BX17" s="110">
        <v>0.13300803366065284</v>
      </c>
      <c r="BY17" s="110">
        <v>0.13473314679450291</v>
      </c>
      <c r="BZ17" s="110">
        <v>0.13662053933481749</v>
      </c>
      <c r="CA17" s="110">
        <v>0.13402179650491797</v>
      </c>
      <c r="CB17" s="110">
        <v>0.13606659032642462</v>
      </c>
      <c r="CC17" s="110">
        <v>0.13813310372045107</v>
      </c>
      <c r="CD17" s="110">
        <v>0.13947990673871255</v>
      </c>
      <c r="CE17" s="110">
        <v>0.14050444800423634</v>
      </c>
      <c r="CF17" s="110">
        <v>0.1457591173237211</v>
      </c>
      <c r="CG17" s="110">
        <v>0.14564467028388881</v>
      </c>
      <c r="CH17" s="110">
        <v>0.14674889402349306</v>
      </c>
      <c r="CI17" s="110">
        <v>0.14392643059339902</v>
      </c>
      <c r="CJ17" s="110">
        <v>0.14654521144794636</v>
      </c>
      <c r="CK17" s="110">
        <v>0.14883702214996791</v>
      </c>
      <c r="CL17" s="110">
        <v>0.15202393756302957</v>
      </c>
      <c r="CM17" s="110">
        <v>0.14626054411568987</v>
      </c>
      <c r="CN17" s="110">
        <v>0.14623169628639265</v>
      </c>
      <c r="CO17" s="110">
        <v>0.14717699201051074</v>
      </c>
      <c r="CP17" s="110">
        <v>0.15226918289474609</v>
      </c>
      <c r="CQ17" s="110">
        <v>0.15341519315986415</v>
      </c>
      <c r="CR17" s="110">
        <v>0.15444915081016497</v>
      </c>
      <c r="CS17" s="110">
        <v>0.15169941760259206</v>
      </c>
      <c r="CT17" s="110">
        <v>0.15610077775277592</v>
      </c>
      <c r="CU17" s="110">
        <v>0.14941646290199589</v>
      </c>
      <c r="CV17" s="110">
        <v>0.1540840896612872</v>
      </c>
      <c r="CW17" s="110">
        <v>0.15553549048976764</v>
      </c>
      <c r="CX17" s="110">
        <v>0.15480874631118663</v>
      </c>
      <c r="CY17" s="110">
        <v>0.1553869037411782</v>
      </c>
      <c r="CZ17" s="110">
        <v>0.15973553357146994</v>
      </c>
      <c r="DA17" s="110">
        <v>0.16045356666240659</v>
      </c>
      <c r="DB17" s="110">
        <v>0.15879258326001869</v>
      </c>
      <c r="DC17" s="110">
        <v>0.16125907210997922</v>
      </c>
      <c r="DD17" s="110">
        <v>0.16109364512327756</v>
      </c>
      <c r="DE17" s="110">
        <v>0.16241434329064378</v>
      </c>
      <c r="DF17" s="110">
        <v>0.16544729360852342</v>
      </c>
      <c r="DG17" s="110">
        <v>0.16355569282980389</v>
      </c>
      <c r="DH17" s="110">
        <v>0.16884043743868501</v>
      </c>
      <c r="DI17" s="110">
        <v>0.16791446226292994</v>
      </c>
      <c r="DJ17" s="110">
        <v>0.16942736123458607</v>
      </c>
      <c r="DK17" s="110">
        <v>0.1644909769840516</v>
      </c>
      <c r="DL17" s="110">
        <v>0.16839218052293004</v>
      </c>
      <c r="DM17" s="110">
        <v>0.17160579658808781</v>
      </c>
      <c r="DN17" s="110">
        <v>0.17234011307118163</v>
      </c>
      <c r="DO17" s="110">
        <v>0.17220253908329333</v>
      </c>
      <c r="DP17" s="110">
        <v>0.17376064294044694</v>
      </c>
      <c r="DQ17" s="110">
        <v>0.17527677759059859</v>
      </c>
      <c r="DR17" s="110">
        <v>0.17537343442059145</v>
      </c>
      <c r="DS17" s="110">
        <v>0.17064586412333407</v>
      </c>
      <c r="DT17" s="160"/>
      <c r="DU17" s="160"/>
      <c r="DV17" s="160"/>
      <c r="DW17" s="160"/>
      <c r="DX17" s="33"/>
      <c r="DY17" s="11"/>
    </row>
    <row r="18" spans="2:129" s="20" customFormat="1" ht="13.5" customHeight="1" x14ac:dyDescent="0.3">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118"/>
      <c r="DB18" s="118"/>
      <c r="DC18" s="161"/>
      <c r="DD18" s="161"/>
      <c r="DE18" s="161"/>
      <c r="DF18" s="118"/>
      <c r="DG18" s="118"/>
      <c r="DH18" s="161"/>
      <c r="DI18" s="118"/>
      <c r="DJ18" s="118"/>
      <c r="DK18" s="118"/>
      <c r="DL18" s="118"/>
      <c r="DM18" s="118"/>
      <c r="DN18" s="118"/>
      <c r="DO18" s="118"/>
      <c r="DP18" s="118"/>
      <c r="DQ18" s="118"/>
      <c r="DR18" s="118"/>
      <c r="DS18" s="118"/>
      <c r="DT18" s="22"/>
      <c r="DU18" s="22"/>
      <c r="DV18" s="22"/>
      <c r="DW18" s="22"/>
      <c r="DX18" s="33"/>
      <c r="DY18" s="11"/>
    </row>
    <row r="19" spans="2:129" s="15" customFormat="1" ht="16.2" x14ac:dyDescent="0.3">
      <c r="B19" s="157" t="s">
        <v>29</v>
      </c>
      <c r="C19" s="15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18">
        <v>11858469</v>
      </c>
      <c r="CW19" s="18">
        <v>11850349</v>
      </c>
      <c r="CX19" s="18">
        <v>11915431</v>
      </c>
      <c r="CY19" s="18">
        <v>12022976</v>
      </c>
      <c r="CZ19" s="18">
        <v>12137196</v>
      </c>
      <c r="DA19" s="18">
        <v>12249198</v>
      </c>
      <c r="DB19" s="18">
        <v>12377370</v>
      </c>
      <c r="DC19" s="18">
        <v>12499972</v>
      </c>
      <c r="DD19" s="18">
        <v>12531710</v>
      </c>
      <c r="DE19" s="18">
        <v>12659947</v>
      </c>
      <c r="DF19" s="18">
        <v>12710528</v>
      </c>
      <c r="DG19" s="18">
        <v>12887280</v>
      </c>
      <c r="DH19" s="18">
        <v>12781080</v>
      </c>
      <c r="DI19" s="18">
        <v>12788262</v>
      </c>
      <c r="DJ19" s="18">
        <v>12862956</v>
      </c>
      <c r="DK19" s="18">
        <v>12985079</v>
      </c>
      <c r="DL19" s="18">
        <v>13078844</v>
      </c>
      <c r="DM19" s="18">
        <v>13117532</v>
      </c>
      <c r="DN19" s="18">
        <v>13255566</v>
      </c>
      <c r="DO19" s="18">
        <v>13376689</v>
      </c>
      <c r="DP19" s="18">
        <v>13723207</v>
      </c>
      <c r="DQ19" s="18">
        <v>13866452</v>
      </c>
      <c r="DR19" s="18">
        <v>13933013</v>
      </c>
      <c r="DS19" s="18">
        <v>14162976</v>
      </c>
      <c r="DT19" s="117">
        <v>1.6504900985881532E-2</v>
      </c>
      <c r="DU19" s="117">
        <v>8.3578572795781625E-3</v>
      </c>
      <c r="DV19" s="117">
        <v>9.8988770322364417E-2</v>
      </c>
      <c r="DW19" s="117">
        <v>8.298586116275275E-2</v>
      </c>
    </row>
    <row r="20" spans="2:129" s="20" customFormat="1" ht="15" customHeight="1" x14ac:dyDescent="0.3">
      <c r="B20" s="162" t="s">
        <v>2</v>
      </c>
      <c r="C20" s="162"/>
      <c r="D20" s="34">
        <v>7553822</v>
      </c>
      <c r="E20" s="34">
        <v>7585814</v>
      </c>
      <c r="F20" s="34">
        <v>7559917</v>
      </c>
      <c r="G20" s="34">
        <v>7560278</v>
      </c>
      <c r="H20" s="34">
        <v>7711096</v>
      </c>
      <c r="I20" s="34">
        <v>7755788</v>
      </c>
      <c r="J20" s="34">
        <v>7826279</v>
      </c>
      <c r="K20" s="34">
        <v>7897764</v>
      </c>
      <c r="L20" s="34">
        <v>7949129</v>
      </c>
      <c r="M20" s="34">
        <v>8038484</v>
      </c>
      <c r="N20" s="34">
        <v>8093711</v>
      </c>
      <c r="O20" s="34">
        <v>8080074</v>
      </c>
      <c r="P20" s="34">
        <v>8085774</v>
      </c>
      <c r="Q20" s="34">
        <v>8126066</v>
      </c>
      <c r="R20" s="34">
        <v>8278061</v>
      </c>
      <c r="S20" s="34">
        <v>8381413</v>
      </c>
      <c r="T20" s="34">
        <v>8446703</v>
      </c>
      <c r="U20" s="34">
        <v>8470326</v>
      </c>
      <c r="V20" s="34">
        <v>8562748</v>
      </c>
      <c r="W20" s="34">
        <v>8612498</v>
      </c>
      <c r="X20" s="34">
        <v>8656885</v>
      </c>
      <c r="Y20" s="34">
        <v>8714186</v>
      </c>
      <c r="Z20" s="34">
        <v>8759208</v>
      </c>
      <c r="AA20" s="34">
        <v>8869407</v>
      </c>
      <c r="AB20" s="34">
        <v>8812372</v>
      </c>
      <c r="AC20" s="34">
        <v>8781357</v>
      </c>
      <c r="AD20" s="34">
        <v>8717210</v>
      </c>
      <c r="AE20" s="34">
        <v>9001384</v>
      </c>
      <c r="AF20" s="34">
        <v>9027817</v>
      </c>
      <c r="AG20" s="34">
        <v>8995537</v>
      </c>
      <c r="AH20" s="34">
        <v>8851430</v>
      </c>
      <c r="AI20" s="34">
        <v>9083505</v>
      </c>
      <c r="AJ20" s="34">
        <v>9311271</v>
      </c>
      <c r="AK20" s="34">
        <v>9240650</v>
      </c>
      <c r="AL20" s="34">
        <v>9321827</v>
      </c>
      <c r="AM20" s="34">
        <v>9321827</v>
      </c>
      <c r="AN20" s="34">
        <v>9381936</v>
      </c>
      <c r="AO20" s="34">
        <v>9408691</v>
      </c>
      <c r="AP20" s="34">
        <v>9379397</v>
      </c>
      <c r="AQ20" s="34">
        <v>9423697</v>
      </c>
      <c r="AR20" s="34">
        <v>9189560.8320000004</v>
      </c>
      <c r="AS20" s="34">
        <v>9523420</v>
      </c>
      <c r="AT20" s="34">
        <v>9314900</v>
      </c>
      <c r="AU20" s="34">
        <v>9344829</v>
      </c>
      <c r="AV20" s="34">
        <v>9404995</v>
      </c>
      <c r="AW20" s="34">
        <v>9462943</v>
      </c>
      <c r="AX20" s="34">
        <v>9501653</v>
      </c>
      <c r="AY20" s="34">
        <v>9511858</v>
      </c>
      <c r="AZ20" s="34">
        <v>9416006</v>
      </c>
      <c r="BA20" s="34">
        <v>9476339</v>
      </c>
      <c r="BB20" s="34">
        <v>9512711</v>
      </c>
      <c r="BC20" s="34">
        <v>9501703</v>
      </c>
      <c r="BD20" s="34">
        <v>9439516</v>
      </c>
      <c r="BE20" s="34">
        <v>9395152</v>
      </c>
      <c r="BF20" s="34">
        <v>9448334</v>
      </c>
      <c r="BG20" s="34">
        <v>9520658</v>
      </c>
      <c r="BH20" s="34">
        <v>10083957</v>
      </c>
      <c r="BI20" s="34">
        <v>10189639</v>
      </c>
      <c r="BJ20" s="34">
        <v>10219956</v>
      </c>
      <c r="BK20" s="34">
        <v>10251486</v>
      </c>
      <c r="BL20" s="34">
        <v>10185708</v>
      </c>
      <c r="BM20" s="34">
        <v>10105343</v>
      </c>
      <c r="BN20" s="34">
        <v>10154009</v>
      </c>
      <c r="BO20" s="34">
        <v>10257526</v>
      </c>
      <c r="BP20" s="34">
        <v>10303397</v>
      </c>
      <c r="BQ20" s="34">
        <v>10317277</v>
      </c>
      <c r="BR20" s="34">
        <v>10372957</v>
      </c>
      <c r="BS20" s="34">
        <v>10373484</v>
      </c>
      <c r="BT20" s="34">
        <v>10556702</v>
      </c>
      <c r="BU20" s="34">
        <v>10665870</v>
      </c>
      <c r="BV20" s="34">
        <v>10717242</v>
      </c>
      <c r="BW20" s="34">
        <v>10803198</v>
      </c>
      <c r="BX20" s="34">
        <v>10788254</v>
      </c>
      <c r="BY20" s="34">
        <v>10820180</v>
      </c>
      <c r="BZ20" s="34">
        <v>10845349</v>
      </c>
      <c r="CA20" s="34">
        <v>10983290</v>
      </c>
      <c r="CB20" s="34">
        <v>11028374</v>
      </c>
      <c r="CC20" s="34">
        <v>11115597</v>
      </c>
      <c r="CD20" s="34">
        <v>11196949</v>
      </c>
      <c r="CE20" s="34">
        <v>11391091</v>
      </c>
      <c r="CF20" s="34">
        <v>11384755</v>
      </c>
      <c r="CG20" s="34">
        <v>11489952</v>
      </c>
      <c r="CH20" s="34">
        <v>11551822</v>
      </c>
      <c r="CI20" s="34">
        <v>11650177</v>
      </c>
      <c r="CJ20" s="34">
        <v>11244305</v>
      </c>
      <c r="CK20" s="34">
        <v>11094748</v>
      </c>
      <c r="CL20" s="34">
        <v>11004824</v>
      </c>
      <c r="CM20" s="34">
        <v>11023913</v>
      </c>
      <c r="CN20" s="34">
        <v>11084464</v>
      </c>
      <c r="CO20" s="34">
        <v>11120342</v>
      </c>
      <c r="CP20" s="34">
        <v>11218565</v>
      </c>
      <c r="CQ20" s="34">
        <v>11294636</v>
      </c>
      <c r="CR20" s="34">
        <v>11380272</v>
      </c>
      <c r="CS20" s="34">
        <v>11515050</v>
      </c>
      <c r="CT20" s="34">
        <v>11565865</v>
      </c>
      <c r="CU20" s="34">
        <v>11716099</v>
      </c>
      <c r="CV20" s="34">
        <v>11729482</v>
      </c>
      <c r="CW20" s="34">
        <v>11721636</v>
      </c>
      <c r="CX20" s="34">
        <v>11786760</v>
      </c>
      <c r="CY20" s="34">
        <v>11893391</v>
      </c>
      <c r="CZ20" s="34">
        <v>12005875</v>
      </c>
      <c r="DA20" s="34">
        <v>12117242</v>
      </c>
      <c r="DB20" s="34">
        <v>12244527</v>
      </c>
      <c r="DC20" s="34">
        <v>12367159</v>
      </c>
      <c r="DD20" s="34">
        <v>12398572</v>
      </c>
      <c r="DE20" s="34">
        <v>12527249</v>
      </c>
      <c r="DF20" s="34">
        <v>12577753</v>
      </c>
      <c r="DG20" s="34">
        <v>12750598</v>
      </c>
      <c r="DH20" s="34">
        <v>12644731</v>
      </c>
      <c r="DI20" s="34">
        <v>12652516</v>
      </c>
      <c r="DJ20" s="34">
        <v>12726685</v>
      </c>
      <c r="DK20" s="34">
        <v>12847144</v>
      </c>
      <c r="DL20" s="34">
        <v>12940496</v>
      </c>
      <c r="DM20" s="34">
        <v>12979212</v>
      </c>
      <c r="DN20" s="34">
        <v>13117215</v>
      </c>
      <c r="DO20" s="34">
        <v>13237776</v>
      </c>
      <c r="DP20" s="34">
        <v>13584084</v>
      </c>
      <c r="DQ20" s="34">
        <v>13726995</v>
      </c>
      <c r="DR20" s="34">
        <v>13793486</v>
      </c>
      <c r="DS20" s="34">
        <v>14019102</v>
      </c>
      <c r="DT20" s="117">
        <v>1.6356706346749572E-2</v>
      </c>
      <c r="DU20" s="117">
        <v>8.3803982459620396E-3</v>
      </c>
      <c r="DV20" s="117">
        <v>9.9485843722780798E-2</v>
      </c>
      <c r="DW20" s="117">
        <v>8.3326952685566447E-2</v>
      </c>
    </row>
    <row r="21" spans="2:129" s="20" customFormat="1" ht="15" customHeight="1" x14ac:dyDescent="0.3">
      <c r="B21" s="162" t="s">
        <v>3</v>
      </c>
      <c r="C21" s="162"/>
      <c r="D21" s="34">
        <v>90841</v>
      </c>
      <c r="E21" s="34">
        <v>91136</v>
      </c>
      <c r="F21" s="34">
        <v>90467</v>
      </c>
      <c r="G21" s="34">
        <v>90385</v>
      </c>
      <c r="H21" s="34">
        <v>93544</v>
      </c>
      <c r="I21" s="34">
        <v>94682</v>
      </c>
      <c r="J21" s="34">
        <v>95295</v>
      </c>
      <c r="K21" s="34">
        <v>96986</v>
      </c>
      <c r="L21" s="34">
        <v>97276</v>
      </c>
      <c r="M21" s="34">
        <v>98767</v>
      </c>
      <c r="N21" s="34">
        <v>100377</v>
      </c>
      <c r="O21" s="34">
        <v>105470</v>
      </c>
      <c r="P21" s="34">
        <v>100353</v>
      </c>
      <c r="Q21" s="34">
        <v>100003</v>
      </c>
      <c r="R21" s="34">
        <v>101027</v>
      </c>
      <c r="S21" s="34">
        <v>102765</v>
      </c>
      <c r="T21" s="34">
        <v>103893</v>
      </c>
      <c r="U21" s="34">
        <v>105047</v>
      </c>
      <c r="V21" s="34">
        <v>105582</v>
      </c>
      <c r="W21" s="34">
        <v>106678</v>
      </c>
      <c r="X21" s="34">
        <v>106580</v>
      </c>
      <c r="Y21" s="34">
        <v>107755</v>
      </c>
      <c r="Z21" s="34">
        <v>109094</v>
      </c>
      <c r="AA21" s="34">
        <v>112524</v>
      </c>
      <c r="AB21" s="34">
        <v>110532</v>
      </c>
      <c r="AC21" s="34">
        <v>110280</v>
      </c>
      <c r="AD21" s="34">
        <v>109728</v>
      </c>
      <c r="AE21" s="34">
        <v>108084</v>
      </c>
      <c r="AF21" s="34">
        <v>108836</v>
      </c>
      <c r="AG21" s="34">
        <v>107338</v>
      </c>
      <c r="AH21" s="34">
        <v>102247</v>
      </c>
      <c r="AI21" s="34">
        <v>104498</v>
      </c>
      <c r="AJ21" s="34">
        <v>103117</v>
      </c>
      <c r="AK21" s="34">
        <v>101143</v>
      </c>
      <c r="AL21" s="34">
        <v>101120</v>
      </c>
      <c r="AM21" s="34">
        <v>101120</v>
      </c>
      <c r="AN21" s="34">
        <v>101516</v>
      </c>
      <c r="AO21" s="34">
        <v>101028</v>
      </c>
      <c r="AP21" s="34">
        <v>100452</v>
      </c>
      <c r="AQ21" s="34">
        <v>100653</v>
      </c>
      <c r="AR21" s="34">
        <v>96058.226999999955</v>
      </c>
      <c r="AS21" s="34">
        <v>101590</v>
      </c>
      <c r="AT21" s="34">
        <v>98132</v>
      </c>
      <c r="AU21" s="34">
        <v>98883</v>
      </c>
      <c r="AV21" s="34">
        <v>100230</v>
      </c>
      <c r="AW21" s="34">
        <v>101315</v>
      </c>
      <c r="AX21" s="34">
        <v>102189</v>
      </c>
      <c r="AY21" s="34">
        <v>105850</v>
      </c>
      <c r="AZ21" s="34">
        <v>100361</v>
      </c>
      <c r="BA21" s="34">
        <v>105062</v>
      </c>
      <c r="BB21" s="34">
        <v>105917</v>
      </c>
      <c r="BC21" s="34">
        <v>106030</v>
      </c>
      <c r="BD21" s="34">
        <v>105756</v>
      </c>
      <c r="BE21" s="34">
        <v>105847</v>
      </c>
      <c r="BF21" s="34">
        <v>105329</v>
      </c>
      <c r="BG21" s="34">
        <v>105853</v>
      </c>
      <c r="BH21" s="34">
        <v>105529</v>
      </c>
      <c r="BI21" s="34">
        <v>105437</v>
      </c>
      <c r="BJ21" s="34">
        <v>107184</v>
      </c>
      <c r="BK21" s="34">
        <v>109994</v>
      </c>
      <c r="BL21" s="34">
        <v>109521</v>
      </c>
      <c r="BM21" s="34">
        <v>109320</v>
      </c>
      <c r="BN21" s="34">
        <v>109592</v>
      </c>
      <c r="BO21" s="34">
        <v>111895</v>
      </c>
      <c r="BP21" s="34">
        <v>112470</v>
      </c>
      <c r="BQ21" s="34">
        <v>112231</v>
      </c>
      <c r="BR21" s="34">
        <v>111850</v>
      </c>
      <c r="BS21" s="34">
        <v>111646</v>
      </c>
      <c r="BT21" s="34">
        <v>111480</v>
      </c>
      <c r="BU21" s="34">
        <v>110819</v>
      </c>
      <c r="BV21" s="34">
        <v>111839</v>
      </c>
      <c r="BW21" s="34">
        <v>114197</v>
      </c>
      <c r="BX21" s="34">
        <v>113843</v>
      </c>
      <c r="BY21" s="34">
        <v>113918</v>
      </c>
      <c r="BZ21" s="34">
        <v>113444</v>
      </c>
      <c r="CA21" s="34">
        <v>114952</v>
      </c>
      <c r="CB21" s="34">
        <v>115607</v>
      </c>
      <c r="CC21" s="34">
        <v>115784</v>
      </c>
      <c r="CD21" s="34">
        <v>115996</v>
      </c>
      <c r="CE21" s="34">
        <v>115391</v>
      </c>
      <c r="CF21" s="34">
        <v>115283</v>
      </c>
      <c r="CG21" s="34">
        <v>114709</v>
      </c>
      <c r="CH21" s="34">
        <v>115622</v>
      </c>
      <c r="CI21" s="34">
        <v>118701</v>
      </c>
      <c r="CJ21" s="34">
        <v>118298</v>
      </c>
      <c r="CK21" s="34">
        <v>118579</v>
      </c>
      <c r="CL21" s="34">
        <v>117333</v>
      </c>
      <c r="CM21" s="34">
        <v>117338</v>
      </c>
      <c r="CN21" s="34">
        <v>118304</v>
      </c>
      <c r="CO21" s="34">
        <v>119586</v>
      </c>
      <c r="CP21" s="34">
        <v>120378</v>
      </c>
      <c r="CQ21" s="34">
        <v>120987</v>
      </c>
      <c r="CR21" s="34">
        <v>122785</v>
      </c>
      <c r="CS21" s="34">
        <v>125250</v>
      </c>
      <c r="CT21" s="34">
        <v>126008</v>
      </c>
      <c r="CU21" s="34">
        <v>130847</v>
      </c>
      <c r="CV21" s="34">
        <v>128987</v>
      </c>
      <c r="CW21" s="34">
        <v>128713</v>
      </c>
      <c r="CX21" s="34">
        <v>128671</v>
      </c>
      <c r="CY21" s="34">
        <v>129585</v>
      </c>
      <c r="CZ21" s="34">
        <v>131321</v>
      </c>
      <c r="DA21" s="34">
        <v>131956</v>
      </c>
      <c r="DB21" s="34">
        <v>132843</v>
      </c>
      <c r="DC21" s="34">
        <v>132813</v>
      </c>
      <c r="DD21" s="34">
        <v>133138</v>
      </c>
      <c r="DE21" s="34">
        <v>132698</v>
      </c>
      <c r="DF21" s="34">
        <v>132775</v>
      </c>
      <c r="DG21" s="34">
        <v>136682</v>
      </c>
      <c r="DH21" s="34">
        <v>136349</v>
      </c>
      <c r="DI21" s="34">
        <v>135746</v>
      </c>
      <c r="DJ21" s="34">
        <v>136271</v>
      </c>
      <c r="DK21" s="34">
        <v>137935</v>
      </c>
      <c r="DL21" s="34">
        <v>138348</v>
      </c>
      <c r="DM21" s="34">
        <v>138320</v>
      </c>
      <c r="DN21" s="34">
        <v>138351</v>
      </c>
      <c r="DO21" s="34">
        <v>138913</v>
      </c>
      <c r="DP21" s="34">
        <v>139123</v>
      </c>
      <c r="DQ21" s="34">
        <v>139457</v>
      </c>
      <c r="DR21" s="34">
        <v>139527</v>
      </c>
      <c r="DS21" s="34">
        <v>143874</v>
      </c>
      <c r="DT21" s="117">
        <v>3.1155260272205387E-2</v>
      </c>
      <c r="DU21" s="117">
        <v>6.1946425608407907E-3</v>
      </c>
      <c r="DV21" s="117">
        <v>5.2618486706369483E-2</v>
      </c>
      <c r="DW21" s="117">
        <v>5.1389445954288293E-2</v>
      </c>
    </row>
    <row r="22" spans="2:129" s="11" customFormat="1" ht="15" customHeight="1" x14ac:dyDescent="0.3">
      <c r="B22" s="179"/>
      <c r="C22" s="179"/>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81"/>
      <c r="DU22" s="182"/>
    </row>
    <row r="23" spans="2:129" s="11" customFormat="1" ht="15" customHeight="1" x14ac:dyDescent="0.3">
      <c r="B23" s="183" t="s">
        <v>7</v>
      </c>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85"/>
      <c r="DU23" s="185"/>
    </row>
    <row r="24" spans="2:129" s="11" customFormat="1" ht="12.75" customHeight="1" x14ac:dyDescent="0.3">
      <c r="B24" s="186" t="s">
        <v>93</v>
      </c>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86"/>
      <c r="DU24" s="186"/>
    </row>
    <row r="25" spans="2:129" s="11" customFormat="1" ht="12.75" customHeight="1" x14ac:dyDescent="0.3">
      <c r="B25" s="186" t="s">
        <v>94</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86"/>
      <c r="DU25" s="186"/>
    </row>
    <row r="26" spans="2:129" s="11" customFormat="1" ht="15" customHeight="1" x14ac:dyDescent="0.3">
      <c r="B26" s="187" t="s">
        <v>95</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6"/>
      <c r="AC26" s="186"/>
      <c r="AD26" s="186"/>
      <c r="AE26" s="186"/>
      <c r="AF26" s="186"/>
      <c r="AG26" s="186"/>
      <c r="AH26" s="186"/>
      <c r="AI26" s="186"/>
      <c r="AJ26" s="186"/>
      <c r="AK26" s="186"/>
      <c r="AL26" s="186"/>
      <c r="AM26" s="186"/>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c r="CA26" s="187"/>
      <c r="CB26" s="187"/>
      <c r="CC26" s="187"/>
      <c r="CD26" s="187"/>
      <c r="CE26" s="187"/>
      <c r="CF26" s="187"/>
      <c r="CG26" s="187"/>
      <c r="CH26" s="187"/>
      <c r="CI26" s="187"/>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87"/>
      <c r="DU26" s="187"/>
    </row>
    <row r="27" spans="2:129" s="11" customFormat="1" ht="15" customHeight="1" x14ac:dyDescent="0.3">
      <c r="B27" s="187" t="s">
        <v>96</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6"/>
      <c r="AC27" s="186"/>
      <c r="AD27" s="186"/>
      <c r="AE27" s="186"/>
      <c r="AF27" s="186"/>
      <c r="AG27" s="186"/>
      <c r="AH27" s="186"/>
      <c r="AI27" s="186"/>
      <c r="AJ27" s="186"/>
      <c r="AK27" s="186"/>
      <c r="AL27" s="186"/>
      <c r="AM27" s="186"/>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87"/>
      <c r="DU27" s="187"/>
    </row>
    <row r="28" spans="2:129" s="11" customFormat="1" ht="15" customHeight="1" x14ac:dyDescent="0.3">
      <c r="B28" s="187" t="s">
        <v>97</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6"/>
      <c r="AC28" s="186"/>
      <c r="AD28" s="186"/>
      <c r="AE28" s="186"/>
      <c r="AF28" s="186"/>
      <c r="AG28" s="186"/>
      <c r="AH28" s="186"/>
      <c r="AI28" s="186"/>
      <c r="AJ28" s="186"/>
      <c r="AK28" s="186"/>
      <c r="AL28" s="186"/>
      <c r="AM28" s="186"/>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c r="CA28" s="187"/>
      <c r="CB28" s="187"/>
      <c r="CC28" s="187"/>
      <c r="CD28" s="187"/>
      <c r="CE28" s="187"/>
      <c r="CF28" s="187"/>
      <c r="CG28" s="187"/>
      <c r="CH28" s="187"/>
      <c r="CI28" s="187"/>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87"/>
      <c r="DU28" s="187"/>
    </row>
    <row r="29" spans="2:129" s="11" customFormat="1" ht="15" customHeight="1" x14ac:dyDescent="0.3">
      <c r="B29" s="187" t="s">
        <v>98</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6"/>
      <c r="AC29" s="186"/>
      <c r="AD29" s="186"/>
      <c r="AE29" s="186"/>
      <c r="AF29" s="186"/>
      <c r="AG29" s="186"/>
      <c r="AH29" s="186"/>
      <c r="AI29" s="186"/>
      <c r="AJ29" s="186"/>
      <c r="AK29" s="186"/>
      <c r="AL29" s="186"/>
      <c r="AM29" s="186"/>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87"/>
      <c r="DU29" s="187"/>
    </row>
    <row r="30" spans="2:129" s="11" customFormat="1" ht="15" customHeight="1" x14ac:dyDescent="0.3">
      <c r="B30" s="187" t="s">
        <v>99</v>
      </c>
      <c r="C30" s="184"/>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85"/>
      <c r="DU30" s="185"/>
    </row>
    <row r="31" spans="2:129" s="11" customFormat="1" ht="15" customHeight="1" x14ac:dyDescent="0.3">
      <c r="B31" s="187" t="s">
        <v>100</v>
      </c>
      <c r="C31" s="18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85"/>
      <c r="DU31" s="185"/>
    </row>
    <row r="32" spans="2:129" s="11" customFormat="1" ht="15" customHeight="1" x14ac:dyDescent="0.3">
      <c r="B32" s="187" t="s">
        <v>101</v>
      </c>
      <c r="C32" s="184"/>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85"/>
      <c r="DU32" s="185"/>
    </row>
    <row r="33" spans="2:125" s="11" customFormat="1" ht="15" customHeight="1" x14ac:dyDescent="0.3">
      <c r="B33" s="187" t="s">
        <v>102</v>
      </c>
      <c r="C33" s="184"/>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85"/>
      <c r="DU33" s="185"/>
    </row>
    <row r="34" spans="2:125" s="11" customFormat="1" ht="15" customHeight="1" x14ac:dyDescent="0.3">
      <c r="B34" s="187" t="s">
        <v>103</v>
      </c>
      <c r="C34" s="184"/>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85"/>
      <c r="DU34" s="185"/>
    </row>
    <row r="35" spans="2:125" s="11" customFormat="1" ht="15" customHeight="1" x14ac:dyDescent="0.3">
      <c r="B35" s="188" t="s">
        <v>104</v>
      </c>
      <c r="C35" s="184"/>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85"/>
      <c r="DU35" s="185"/>
    </row>
    <row r="36" spans="2:125" s="11" customFormat="1" ht="15" customHeight="1" x14ac:dyDescent="0.3">
      <c r="B36" s="187"/>
      <c r="C36" s="184"/>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85"/>
      <c r="DU36" s="185"/>
    </row>
    <row r="37" spans="2:125" s="189" customFormat="1" ht="15" customHeight="1" x14ac:dyDescent="0.3">
      <c r="C37" s="179"/>
      <c r="D37" s="19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80"/>
      <c r="DU37" s="180"/>
    </row>
    <row r="38" spans="2:125" s="189" customFormat="1" ht="15" customHeight="1" x14ac:dyDescent="0.3">
      <c r="B38" s="191"/>
      <c r="C38" s="192"/>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0"/>
      <c r="BR38" s="180"/>
      <c r="BS38" s="180"/>
      <c r="BT38" s="180"/>
      <c r="BU38" s="180"/>
      <c r="BV38" s="180"/>
      <c r="BW38" s="180"/>
      <c r="BX38" s="180"/>
      <c r="BY38" s="180"/>
      <c r="BZ38" s="180"/>
      <c r="CA38" s="180"/>
      <c r="CB38" s="180"/>
      <c r="CC38" s="180"/>
      <c r="CD38" s="180"/>
      <c r="CE38" s="180"/>
      <c r="CF38" s="180"/>
      <c r="CG38" s="180"/>
      <c r="CH38" s="180"/>
      <c r="CI38" s="180"/>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80"/>
      <c r="DU38" s="180"/>
    </row>
    <row r="39" spans="2:125" s="193" customFormat="1" x14ac:dyDescent="0.3">
      <c r="D39" s="194"/>
    </row>
    <row r="40" spans="2:125" s="193" customFormat="1" x14ac:dyDescent="0.3">
      <c r="D40" s="194"/>
    </row>
    <row r="41" spans="2:125" s="195" customFormat="1" x14ac:dyDescent="0.3">
      <c r="D41" s="196"/>
    </row>
    <row r="42" spans="2:125" s="195" customFormat="1" x14ac:dyDescent="0.3"/>
  </sheetData>
  <mergeCells count="21">
    <mergeCell ref="DW9:DW10"/>
    <mergeCell ref="B20:C20"/>
    <mergeCell ref="B21:C21"/>
    <mergeCell ref="CJ9:CU9"/>
    <mergeCell ref="CV9:DG9"/>
    <mergeCell ref="DH9:DR9"/>
    <mergeCell ref="DT9:DT10"/>
    <mergeCell ref="DU9:DU10"/>
    <mergeCell ref="DV9:DV10"/>
    <mergeCell ref="P9:AA9"/>
    <mergeCell ref="AB9:AM9"/>
    <mergeCell ref="AN9:AY9"/>
    <mergeCell ref="AZ9:BK9"/>
    <mergeCell ref="BL9:BW9"/>
    <mergeCell ref="BX9:CI9"/>
    <mergeCell ref="D3:K3"/>
    <mergeCell ref="D4:K4"/>
    <mergeCell ref="D5:K5"/>
    <mergeCell ref="D6:K6"/>
    <mergeCell ref="D7:E7"/>
    <mergeCell ref="D9:O9"/>
  </mergeCells>
  <hyperlinks>
    <hyperlink ref="D7:E7" location="ÍNDICE!A1" display="&lt;- Volver a índice"/>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0" id="{8D244726-DA30-41D1-B347-E8F9FD3D42C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DU11:DW11 DU13:DU16 DU19:DU21 DW19:DW21 DW13:DW16 DV13:DV21</xm:sqref>
        </x14:conditionalFormatting>
        <x14:conditionalFormatting xmlns:xm="http://schemas.microsoft.com/office/excel/2006/main">
          <x14:cfRule type="iconSet" priority="9" id="{FBDB6C35-7F1A-4588-8E2B-BECCC1C4E49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DT11 DT13:DT21</xm:sqref>
        </x14:conditionalFormatting>
        <x14:conditionalFormatting xmlns:xm="http://schemas.microsoft.com/office/excel/2006/main">
          <x14:cfRule type="iconSet" priority="8" id="{560AECED-B28F-4EA7-B073-5B5370788F9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DW17:DW18</xm:sqref>
        </x14:conditionalFormatting>
        <x14:conditionalFormatting xmlns:xm="http://schemas.microsoft.com/office/excel/2006/main">
          <x14:cfRule type="iconSet" priority="7" id="{274FF27F-F001-4506-BDB0-0995ECDBBAB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DW17:DX18</xm:sqref>
        </x14:conditionalFormatting>
        <x14:conditionalFormatting xmlns:xm="http://schemas.microsoft.com/office/excel/2006/main">
          <x14:cfRule type="iconSet" priority="6" id="{289E6976-2671-4203-BB27-FDB3BC9CAB5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DW17:DW18</xm:sqref>
        </x14:conditionalFormatting>
        <x14:conditionalFormatting xmlns:xm="http://schemas.microsoft.com/office/excel/2006/main">
          <x14:cfRule type="iconSet" priority="5" id="{3DA68B8B-8724-4075-B5C7-58CD25A8BE4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DW17:DW18</xm:sqref>
        </x14:conditionalFormatting>
        <x14:conditionalFormatting xmlns:xm="http://schemas.microsoft.com/office/excel/2006/main">
          <x14:cfRule type="iconSet" priority="4" id="{766CDBB3-F022-42C3-B68B-5DCF5301039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DT17:DW18</xm:sqref>
        </x14:conditionalFormatting>
        <x14:conditionalFormatting xmlns:xm="http://schemas.microsoft.com/office/excel/2006/main">
          <x14:cfRule type="iconSet" priority="3" id="{75407CB5-0C4C-4FD7-813F-BA6E75585DD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DT17:DW18</xm:sqref>
        </x14:conditionalFormatting>
        <x14:conditionalFormatting xmlns:xm="http://schemas.microsoft.com/office/excel/2006/main">
          <x14:cfRule type="iconSet" priority="2" id="{9FCCEF57-F1AC-4638-9415-FD425DC069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DT17:DW18</xm:sqref>
        </x14:conditionalFormatting>
        <x14:conditionalFormatting xmlns:xm="http://schemas.microsoft.com/office/excel/2006/main">
          <x14:cfRule type="iconSet" priority="1" id="{3EE4E5AB-F44D-4C1F-A1D5-CEA52541A6E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DT17:DW18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34"/>
  <sheetViews>
    <sheetView showGridLines="0" zoomScale="92" zoomScaleNormal="92" workbookViewId="0">
      <pane xSplit="3" ySplit="10" topLeftCell="DM11" activePane="bottomRight" state="frozen"/>
      <selection pane="topRight" activeCell="D1" sqref="D1"/>
      <selection pane="bottomLeft" activeCell="A11" sqref="A11"/>
      <selection pane="bottomRight" activeCell="D10" sqref="D10"/>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23" width="15.109375" customWidth="1"/>
    <col min="124" max="124" width="14" customWidth="1"/>
    <col min="125" max="125" width="16.5546875" customWidth="1"/>
    <col min="126" max="126" width="15.33203125" customWidth="1"/>
    <col min="127" max="127" width="18.88671875" bestFit="1" customWidth="1"/>
  </cols>
  <sheetData>
    <row r="1" spans="2:127" ht="4.5" customHeight="1" x14ac:dyDescent="0.3"/>
    <row r="2" spans="2:127" x14ac:dyDescent="0.3">
      <c r="AH2" s="66"/>
    </row>
    <row r="3" spans="2:127" ht="18" x14ac:dyDescent="0.3">
      <c r="B3" s="35"/>
      <c r="C3" s="35"/>
      <c r="D3" s="129" t="s">
        <v>30</v>
      </c>
      <c r="E3" s="129"/>
      <c r="F3" s="129"/>
      <c r="G3" s="129"/>
      <c r="H3" s="129"/>
      <c r="I3" s="129"/>
      <c r="J3" s="129"/>
      <c r="K3" s="129"/>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9"/>
    </row>
    <row r="4" spans="2:127" ht="15.6" x14ac:dyDescent="0.3">
      <c r="B4" s="36"/>
      <c r="C4" s="36"/>
      <c r="D4" s="130" t="s">
        <v>31</v>
      </c>
      <c r="E4" s="130"/>
      <c r="F4" s="130"/>
      <c r="G4" s="130"/>
      <c r="H4" s="130"/>
      <c r="I4" s="130"/>
      <c r="J4" s="130"/>
      <c r="K4" s="130"/>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86"/>
    </row>
    <row r="5" spans="2:127" x14ac:dyDescent="0.3">
      <c r="B5" s="37"/>
      <c r="C5" s="37"/>
      <c r="D5" s="130" t="s">
        <v>79</v>
      </c>
      <c r="E5" s="130"/>
      <c r="F5" s="130"/>
      <c r="G5" s="130"/>
      <c r="H5" s="130"/>
      <c r="I5" s="130"/>
      <c r="J5" s="130"/>
      <c r="K5" s="130"/>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10"/>
    </row>
    <row r="6" spans="2:127" x14ac:dyDescent="0.3">
      <c r="D6" s="131" t="s">
        <v>35</v>
      </c>
      <c r="E6" s="131"/>
      <c r="F6" s="131"/>
      <c r="G6" s="131"/>
      <c r="H6" s="131"/>
      <c r="I6" s="131"/>
      <c r="J6" s="131"/>
      <c r="K6" s="131"/>
      <c r="AY6" s="79"/>
      <c r="AZ6" s="79"/>
      <c r="BA6" s="79"/>
      <c r="BB6" s="79"/>
      <c r="BC6" s="79"/>
      <c r="BD6" s="79"/>
      <c r="BE6" s="79"/>
      <c r="BF6" s="79"/>
      <c r="BG6" s="79"/>
      <c r="BH6" s="79"/>
      <c r="BI6" s="79"/>
      <c r="BJ6" s="79"/>
      <c r="BK6" s="79"/>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row>
    <row r="7" spans="2:127" x14ac:dyDescent="0.3">
      <c r="D7" s="132" t="s">
        <v>34</v>
      </c>
      <c r="E7" s="132"/>
      <c r="F7" s="87"/>
      <c r="G7" s="87"/>
      <c r="H7" s="87"/>
      <c r="I7" s="87"/>
      <c r="J7" s="87"/>
      <c r="K7" s="87"/>
      <c r="AX7" s="77"/>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row>
    <row r="8" spans="2:127" x14ac:dyDescent="0.3">
      <c r="DW8" s="6"/>
    </row>
    <row r="9" spans="2:127" ht="29.25" customHeight="1" x14ac:dyDescent="0.3">
      <c r="D9" s="137" t="s">
        <v>12</v>
      </c>
      <c r="E9" s="138"/>
      <c r="F9" s="138"/>
      <c r="G9" s="138"/>
      <c r="H9" s="138"/>
      <c r="I9" s="138"/>
      <c r="J9" s="138"/>
      <c r="K9" s="138"/>
      <c r="L9" s="138"/>
      <c r="M9" s="138"/>
      <c r="N9" s="138"/>
      <c r="O9" s="139"/>
      <c r="P9" s="137" t="s">
        <v>22</v>
      </c>
      <c r="Q9" s="138"/>
      <c r="R9" s="138"/>
      <c r="S9" s="138"/>
      <c r="T9" s="138"/>
      <c r="U9" s="138"/>
      <c r="V9" s="138"/>
      <c r="W9" s="138"/>
      <c r="X9" s="138"/>
      <c r="Y9" s="138"/>
      <c r="Z9" s="138"/>
      <c r="AA9" s="139"/>
      <c r="AB9" s="140" t="s">
        <v>23</v>
      </c>
      <c r="AC9" s="141"/>
      <c r="AD9" s="141"/>
      <c r="AE9" s="141"/>
      <c r="AF9" s="141"/>
      <c r="AG9" s="141"/>
      <c r="AH9" s="141"/>
      <c r="AI9" s="141"/>
      <c r="AJ9" s="141"/>
      <c r="AK9" s="141"/>
      <c r="AL9" s="141"/>
      <c r="AM9" s="142"/>
      <c r="AN9" s="143" t="s">
        <v>24</v>
      </c>
      <c r="AO9" s="144"/>
      <c r="AP9" s="144"/>
      <c r="AQ9" s="144"/>
      <c r="AR9" s="144"/>
      <c r="AS9" s="144"/>
      <c r="AT9" s="144"/>
      <c r="AU9" s="144"/>
      <c r="AV9" s="144"/>
      <c r="AW9" s="144"/>
      <c r="AX9" s="144"/>
      <c r="AY9" s="145"/>
      <c r="AZ9" s="143" t="s">
        <v>53</v>
      </c>
      <c r="BA9" s="144"/>
      <c r="BB9" s="144"/>
      <c r="BC9" s="144"/>
      <c r="BD9" s="144"/>
      <c r="BE9" s="144"/>
      <c r="BF9" s="144"/>
      <c r="BG9" s="144"/>
      <c r="BH9" s="144"/>
      <c r="BI9" s="144"/>
      <c r="BJ9" s="144"/>
      <c r="BK9" s="145"/>
      <c r="BL9" s="143" t="s">
        <v>62</v>
      </c>
      <c r="BM9" s="144"/>
      <c r="BN9" s="144"/>
      <c r="BO9" s="144"/>
      <c r="BP9" s="144"/>
      <c r="BQ9" s="144"/>
      <c r="BR9" s="144"/>
      <c r="BS9" s="144"/>
      <c r="BT9" s="144"/>
      <c r="BU9" s="144"/>
      <c r="BV9" s="144"/>
      <c r="BW9" s="145"/>
      <c r="BX9" s="143" t="s">
        <v>64</v>
      </c>
      <c r="BY9" s="144"/>
      <c r="BZ9" s="144"/>
      <c r="CA9" s="144"/>
      <c r="CB9" s="144"/>
      <c r="CC9" s="144"/>
      <c r="CD9" s="144"/>
      <c r="CE9" s="144"/>
      <c r="CF9" s="144"/>
      <c r="CG9" s="144"/>
      <c r="CH9" s="144"/>
      <c r="CI9" s="146"/>
      <c r="CJ9" s="147" t="s">
        <v>70</v>
      </c>
      <c r="CK9" s="148"/>
      <c r="CL9" s="148"/>
      <c r="CM9" s="148"/>
      <c r="CN9" s="148"/>
      <c r="CO9" s="148"/>
      <c r="CP9" s="148"/>
      <c r="CQ9" s="148"/>
      <c r="CR9" s="148"/>
      <c r="CS9" s="148"/>
      <c r="CT9" s="148"/>
      <c r="CU9" s="146"/>
      <c r="CV9" s="143" t="s">
        <v>73</v>
      </c>
      <c r="CW9" s="144"/>
      <c r="CX9" s="144"/>
      <c r="CY9" s="144"/>
      <c r="CZ9" s="144"/>
      <c r="DA9" s="144"/>
      <c r="DB9" s="144"/>
      <c r="DC9" s="144"/>
      <c r="DD9" s="144"/>
      <c r="DE9" s="144"/>
      <c r="DF9" s="144"/>
      <c r="DG9" s="145"/>
      <c r="DH9" s="147" t="s">
        <v>75</v>
      </c>
      <c r="DI9" s="148"/>
      <c r="DJ9" s="148"/>
      <c r="DK9" s="148"/>
      <c r="DL9" s="148"/>
      <c r="DM9" s="148"/>
      <c r="DN9" s="148"/>
      <c r="DO9" s="148"/>
      <c r="DP9" s="148"/>
      <c r="DQ9" s="148"/>
      <c r="DR9" s="148"/>
      <c r="DS9" s="146"/>
      <c r="DT9" s="133" t="s">
        <v>63</v>
      </c>
      <c r="DU9" s="133" t="s">
        <v>36</v>
      </c>
      <c r="DV9" s="133" t="s">
        <v>27</v>
      </c>
      <c r="DW9" s="133" t="s">
        <v>37</v>
      </c>
    </row>
    <row r="10" spans="2:127"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44</v>
      </c>
      <c r="AR10" s="13" t="s">
        <v>17</v>
      </c>
      <c r="AS10" s="13" t="s">
        <v>20</v>
      </c>
      <c r="AT10" s="13" t="s">
        <v>4</v>
      </c>
      <c r="AU10" s="13" t="s">
        <v>21</v>
      </c>
      <c r="AV10" s="13" t="s">
        <v>8</v>
      </c>
      <c r="AW10" s="13" t="s">
        <v>9</v>
      </c>
      <c r="AX10" s="13" t="s">
        <v>46</v>
      </c>
      <c r="AY10" s="13" t="s">
        <v>57</v>
      </c>
      <c r="AZ10" s="13" t="s">
        <v>19</v>
      </c>
      <c r="BA10" s="13" t="s">
        <v>0</v>
      </c>
      <c r="BB10" s="13" t="s">
        <v>15</v>
      </c>
      <c r="BC10" s="13" t="s">
        <v>58</v>
      </c>
      <c r="BD10" s="13" t="s">
        <v>67</v>
      </c>
      <c r="BE10" s="13" t="s">
        <v>20</v>
      </c>
      <c r="BF10" s="13" t="s">
        <v>66</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46</v>
      </c>
      <c r="BW10" s="13" t="s">
        <v>11</v>
      </c>
      <c r="BX10" s="91" t="s">
        <v>13</v>
      </c>
      <c r="BY10" s="91" t="s">
        <v>65</v>
      </c>
      <c r="BZ10" s="91" t="s">
        <v>68</v>
      </c>
      <c r="CA10" s="91" t="s">
        <v>44</v>
      </c>
      <c r="CB10" s="91" t="s">
        <v>55</v>
      </c>
      <c r="CC10" s="91" t="s">
        <v>20</v>
      </c>
      <c r="CD10" s="91" t="s">
        <v>4</v>
      </c>
      <c r="CE10" s="91" t="s">
        <v>21</v>
      </c>
      <c r="CF10" s="91" t="s">
        <v>8</v>
      </c>
      <c r="CG10" s="91" t="s">
        <v>69</v>
      </c>
      <c r="CH10" s="91" t="s">
        <v>10</v>
      </c>
      <c r="CI10" s="13" t="s">
        <v>71</v>
      </c>
      <c r="CJ10" s="13" t="s">
        <v>19</v>
      </c>
      <c r="CK10" s="13" t="s">
        <v>65</v>
      </c>
      <c r="CL10" s="13" t="s">
        <v>68</v>
      </c>
      <c r="CM10" s="13" t="s">
        <v>16</v>
      </c>
      <c r="CN10" s="13" t="s">
        <v>17</v>
      </c>
      <c r="CO10" s="13" t="s">
        <v>20</v>
      </c>
      <c r="CP10" s="13" t="s">
        <v>4</v>
      </c>
      <c r="CQ10" s="13" t="s">
        <v>18</v>
      </c>
      <c r="CR10" s="13" t="s">
        <v>72</v>
      </c>
      <c r="CS10" s="13" t="s">
        <v>9</v>
      </c>
      <c r="CT10" s="13" t="s">
        <v>46</v>
      </c>
      <c r="CU10" s="13" t="s">
        <v>11</v>
      </c>
      <c r="CV10" s="13" t="s">
        <v>19</v>
      </c>
      <c r="CW10" s="13" t="s">
        <v>0</v>
      </c>
      <c r="CX10" s="13" t="s">
        <v>15</v>
      </c>
      <c r="CY10" s="13" t="s">
        <v>16</v>
      </c>
      <c r="CZ10" s="13" t="s">
        <v>74</v>
      </c>
      <c r="DA10" s="13" t="s">
        <v>20</v>
      </c>
      <c r="DB10" s="13" t="s">
        <v>4</v>
      </c>
      <c r="DC10" s="13" t="s">
        <v>21</v>
      </c>
      <c r="DD10" s="13" t="s">
        <v>8</v>
      </c>
      <c r="DE10" s="13" t="s">
        <v>9</v>
      </c>
      <c r="DF10" s="13" t="s">
        <v>10</v>
      </c>
      <c r="DG10" s="13" t="s">
        <v>11</v>
      </c>
      <c r="DH10" s="13" t="s">
        <v>19</v>
      </c>
      <c r="DI10" s="13" t="s">
        <v>0</v>
      </c>
      <c r="DJ10" s="13" t="s">
        <v>15</v>
      </c>
      <c r="DK10" s="13" t="s">
        <v>16</v>
      </c>
      <c r="DL10" s="13" t="s">
        <v>17</v>
      </c>
      <c r="DM10" s="13" t="s">
        <v>20</v>
      </c>
      <c r="DN10" s="13" t="s">
        <v>76</v>
      </c>
      <c r="DO10" s="13" t="s">
        <v>21</v>
      </c>
      <c r="DP10" s="13" t="s">
        <v>8</v>
      </c>
      <c r="DQ10" s="13" t="s">
        <v>9</v>
      </c>
      <c r="DR10" s="13" t="s">
        <v>10</v>
      </c>
      <c r="DS10" s="13" t="s">
        <v>80</v>
      </c>
      <c r="DT10" s="134"/>
      <c r="DU10" s="134"/>
      <c r="DV10" s="134"/>
      <c r="DW10" s="134"/>
    </row>
    <row r="11" spans="2:127" s="15" customFormat="1" x14ac:dyDescent="0.3">
      <c r="B11" s="16" t="s">
        <v>59</v>
      </c>
      <c r="C11" s="17"/>
      <c r="D11" s="18">
        <v>58184.451869952158</v>
      </c>
      <c r="E11" s="18">
        <v>60031.156642752467</v>
      </c>
      <c r="F11" s="18">
        <v>61659.068922741732</v>
      </c>
      <c r="G11" s="53">
        <v>63302.58646493253</v>
      </c>
      <c r="H11" s="53">
        <v>64984.65501304534</v>
      </c>
      <c r="I11" s="53">
        <v>66594.947313045297</v>
      </c>
      <c r="J11" s="53">
        <v>68227.121203045303</v>
      </c>
      <c r="K11" s="53">
        <v>69878.571503045299</v>
      </c>
      <c r="L11" s="53">
        <v>71559.8857230453</v>
      </c>
      <c r="M11" s="53">
        <v>73496.895000000004</v>
      </c>
      <c r="N11" s="53">
        <v>75270.690563045297</v>
      </c>
      <c r="O11" s="53">
        <v>77059.613273045296</v>
      </c>
      <c r="P11" s="53">
        <v>79517.903083045327</v>
      </c>
      <c r="Q11" s="53">
        <v>82146.581643045341</v>
      </c>
      <c r="R11" s="53">
        <v>84738.281443045329</v>
      </c>
      <c r="S11" s="53">
        <v>75694.617239999992</v>
      </c>
      <c r="T11" s="53">
        <v>79723.219169999997</v>
      </c>
      <c r="U11" s="53">
        <v>79805.903569999995</v>
      </c>
      <c r="V11" s="53">
        <v>95602.29333</v>
      </c>
      <c r="W11" s="53">
        <v>95714.932620000007</v>
      </c>
      <c r="X11" s="53">
        <v>98472.872400000007</v>
      </c>
      <c r="Y11" s="53">
        <v>103986.91131</v>
      </c>
      <c r="Z11" s="53">
        <v>104010.87256999999</v>
      </c>
      <c r="AA11" s="53">
        <v>106931.24959000001</v>
      </c>
      <c r="AB11" s="53">
        <v>112456.00290000001</v>
      </c>
      <c r="AC11" s="53">
        <v>115576.09595999999</v>
      </c>
      <c r="AD11" s="53">
        <v>118624.55781</v>
      </c>
      <c r="AE11" s="53">
        <v>121572.40184999999</v>
      </c>
      <c r="AF11" s="53">
        <v>124653.78395</v>
      </c>
      <c r="AG11" s="53">
        <v>127626.36520999999</v>
      </c>
      <c r="AH11" s="53">
        <v>130734.94763</v>
      </c>
      <c r="AI11" s="53">
        <v>134051.74841</v>
      </c>
      <c r="AJ11" s="53">
        <v>137047.88303</v>
      </c>
      <c r="AK11" s="53">
        <v>140163.92546999999</v>
      </c>
      <c r="AL11" s="53">
        <v>143273.21662999998</v>
      </c>
      <c r="AM11" s="53">
        <v>146370.68049</v>
      </c>
      <c r="AN11" s="53">
        <v>149411.21291</v>
      </c>
      <c r="AO11" s="53">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f>320538901.93/1000</f>
        <v>320538.90192999999</v>
      </c>
      <c r="BS11" s="18">
        <v>325697.42609000002</v>
      </c>
      <c r="BT11" s="18">
        <v>330971.83892000001</v>
      </c>
      <c r="BU11" s="18">
        <v>336207</v>
      </c>
      <c r="BV11" s="18">
        <v>336559.25494999997</v>
      </c>
      <c r="BW11" s="18">
        <v>337100.87566000002</v>
      </c>
      <c r="BX11" s="18">
        <v>337557.63225999998</v>
      </c>
      <c r="BY11" s="85">
        <f>342935640.21/1000</f>
        <v>342935.64020999998</v>
      </c>
      <c r="BZ11" s="85">
        <v>353850</v>
      </c>
      <c r="CA11" s="85">
        <v>353992</v>
      </c>
      <c r="CB11" s="85">
        <f>359643578/1000</f>
        <v>359643.57799999998</v>
      </c>
      <c r="CC11" s="85">
        <v>365322.63381000003</v>
      </c>
      <c r="CD11" s="85">
        <f>371335582/1000</f>
        <v>371335.58199999999</v>
      </c>
      <c r="CE11" s="85">
        <v>377333.32714000001</v>
      </c>
      <c r="CF11" s="85">
        <v>383175</v>
      </c>
      <c r="CG11" s="85">
        <f>389235592.13/1000</f>
        <v>389235.59213</v>
      </c>
      <c r="CH11" s="85">
        <f>395609056.76/1000</f>
        <v>395609.05676000001</v>
      </c>
      <c r="CI11" s="85">
        <f>411765852.43/1000</f>
        <v>411765.85243000003</v>
      </c>
      <c r="CJ11" s="85">
        <f>411946161.23/1000</f>
        <v>411946.16123000003</v>
      </c>
      <c r="CK11" s="85">
        <f>418227669.7/1000</f>
        <v>418227.66969999997</v>
      </c>
      <c r="CL11" s="85">
        <f>430667855/1000</f>
        <v>430667.85499999998</v>
      </c>
      <c r="CM11" s="85">
        <f>431024614.33/1000</f>
        <v>431024.61433000001</v>
      </c>
      <c r="CN11" s="85">
        <f>431024614.33/1000</f>
        <v>431024.61433000001</v>
      </c>
      <c r="CO11" s="85">
        <f>431024614.33/1000</f>
        <v>431024.61433000001</v>
      </c>
      <c r="CP11" s="85">
        <f>450827959.24/1000</f>
        <v>450827.95924</v>
      </c>
      <c r="CQ11" s="85">
        <f>462277233.57/1000</f>
        <v>462277.23356999998</v>
      </c>
      <c r="CR11" s="85">
        <f>462996251.01/1000</f>
        <v>462996.25101000001</v>
      </c>
      <c r="CS11" s="85">
        <v>475057.08323000005</v>
      </c>
      <c r="CT11" s="85">
        <f>482544168.11/1000</f>
        <v>482544.16811000003</v>
      </c>
      <c r="CU11" s="85">
        <f>489858948.51/1000</f>
        <v>489858.94851000002</v>
      </c>
      <c r="CV11" s="85">
        <f>496246487/1000</f>
        <v>496246.48700000002</v>
      </c>
      <c r="CW11" s="85">
        <f>496246487/1000</f>
        <v>496246.48700000002</v>
      </c>
      <c r="CX11" s="85">
        <f>496743323.87/1000</f>
        <v>496743.32387000002</v>
      </c>
      <c r="CY11" s="85">
        <f>519249830.13/1000</f>
        <v>519249.83013000002</v>
      </c>
      <c r="CZ11" s="85">
        <f>527284244.92/1000</f>
        <v>527284.24491999997</v>
      </c>
      <c r="DA11" s="85">
        <f>541702964.73/1000</f>
        <v>541702.96473000001</v>
      </c>
      <c r="DB11" s="85">
        <f>543127830.49/1000</f>
        <v>543127.83048999996</v>
      </c>
      <c r="DC11" s="85">
        <f>559631504.17/1000</f>
        <v>559631.50416999997</v>
      </c>
      <c r="DD11" s="85">
        <f>567716487.02/1000</f>
        <v>567716.48702</v>
      </c>
      <c r="DE11" s="85">
        <f>567792170.38/1000</f>
        <v>567792.17038000003</v>
      </c>
      <c r="DF11" s="85">
        <f>584757460.63/1000</f>
        <v>584757.46062999999</v>
      </c>
      <c r="DG11" s="85">
        <f>603816860.94/1000</f>
        <v>603816.86094000004</v>
      </c>
      <c r="DH11" s="85">
        <f>610442678.62/1000</f>
        <v>610442.67862000002</v>
      </c>
      <c r="DI11" s="85">
        <f>619931091.49/1000</f>
        <v>619931.09149000002</v>
      </c>
      <c r="DJ11" s="85">
        <f>630857013.92/1000</f>
        <v>630857.01391999994</v>
      </c>
      <c r="DK11" s="85">
        <f>639579330.34/1000</f>
        <v>639579.33033999999</v>
      </c>
      <c r="DL11" s="85">
        <f>644788442.76/1000</f>
        <v>644788.44276000001</v>
      </c>
      <c r="DM11" s="85">
        <f>655936550.01/1000</f>
        <v>655936.55001000001</v>
      </c>
      <c r="DN11" s="114">
        <v>668404.23346000002</v>
      </c>
      <c r="DO11" s="85">
        <f>676764381.76/1000</f>
        <v>676764.38176000002</v>
      </c>
      <c r="DP11" s="114">
        <f>686981255.66/1000</f>
        <v>686981.25566000002</v>
      </c>
      <c r="DQ11" s="114">
        <f>699512622.79/1000</f>
        <v>699512.62278999994</v>
      </c>
      <c r="DR11" s="114">
        <f>710107503.95/1000</f>
        <v>710107.50395000004</v>
      </c>
      <c r="DS11" s="114">
        <f>732149708.18/1000</f>
        <v>732149.70817999996</v>
      </c>
      <c r="DT11" s="117">
        <f>DS11/DR11-1</f>
        <v>3.1040658079782624E-2</v>
      </c>
      <c r="DU11" s="101">
        <f>DT39</f>
        <v>1.7441734141254717E-2</v>
      </c>
      <c r="DV11" s="117">
        <f>DS11/DG11-1</f>
        <v>0.21253604452220176</v>
      </c>
      <c r="DW11" s="101">
        <f>DT49</f>
        <v>0.22729849635380428</v>
      </c>
    </row>
    <row r="12" spans="2:127" s="20" customFormat="1" ht="19.5" customHeight="1" x14ac:dyDescent="0.3">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33"/>
      <c r="DG12" s="33"/>
      <c r="DH12" s="33"/>
      <c r="DI12" s="33"/>
      <c r="DJ12" s="33"/>
      <c r="DK12" s="33"/>
      <c r="DL12" s="33"/>
      <c r="DM12" s="33"/>
      <c r="DN12" s="111"/>
      <c r="DO12" s="33"/>
      <c r="DP12" s="33"/>
      <c r="DQ12" s="33"/>
      <c r="DR12" s="33"/>
      <c r="DS12" s="33"/>
      <c r="DT12" s="118"/>
      <c r="DU12" s="102"/>
      <c r="DV12" s="118"/>
      <c r="DW12" s="105"/>
    </row>
    <row r="13" spans="2:127" s="15" customFormat="1" x14ac:dyDescent="0.3">
      <c r="B13" s="16" t="s">
        <v>51</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7">
        <v>6033785.7173599247</v>
      </c>
      <c r="AQ13" s="67">
        <v>6034159.8264498897</v>
      </c>
      <c r="AR13" s="67">
        <v>6039616.1374298809</v>
      </c>
      <c r="AS13" s="67">
        <v>6104674.2571898885</v>
      </c>
      <c r="AT13" s="67">
        <v>6797547.0509398803</v>
      </c>
      <c r="AU13" s="67">
        <v>7167612.3286392102</v>
      </c>
      <c r="AV13" s="67">
        <v>7237238.2432192005</v>
      </c>
      <c r="AW13" s="67">
        <v>7621940.9328191997</v>
      </c>
      <c r="AX13" s="67">
        <v>7683687.4256091202</v>
      </c>
      <c r="AY13" s="67">
        <v>7854690.4719392676</v>
      </c>
      <c r="AZ13" s="67">
        <v>7944675.9574392773</v>
      </c>
      <c r="BA13" s="67">
        <v>7952402.1517692758</v>
      </c>
      <c r="BB13" s="67">
        <v>8188998.6515392596</v>
      </c>
      <c r="BC13" s="67">
        <v>8327296.0919291005</v>
      </c>
      <c r="BD13" s="67">
        <v>8382825.338679119</v>
      </c>
      <c r="BE13" s="67">
        <v>8820931.9798204713</v>
      </c>
      <c r="BF13" s="67">
        <v>8944674.7959902938</v>
      </c>
      <c r="BG13" s="67">
        <v>9012333.877000276</v>
      </c>
      <c r="BH13" s="67">
        <v>9097042.2979502864</v>
      </c>
      <c r="BI13" s="67">
        <v>9207082.7438497264</v>
      </c>
      <c r="BJ13" s="67">
        <v>9263277.6736496966</v>
      </c>
      <c r="BK13" s="67">
        <v>9467314.7966396101</v>
      </c>
      <c r="BL13" s="67">
        <v>9471372</v>
      </c>
      <c r="BM13" s="67">
        <v>9612684</v>
      </c>
      <c r="BN13" s="67">
        <v>9834111</v>
      </c>
      <c r="BO13" s="67">
        <v>9834111</v>
      </c>
      <c r="BP13" s="67">
        <v>10172462.738829</v>
      </c>
      <c r="BQ13" s="67">
        <v>10291946.489300011</v>
      </c>
      <c r="BR13" s="67">
        <f>10381282229/1000</f>
        <v>10381282.229</v>
      </c>
      <c r="BS13" s="67">
        <v>10428582.952649999</v>
      </c>
      <c r="BT13" s="67">
        <v>10505666.79851</v>
      </c>
      <c r="BU13" s="67">
        <v>10656719</v>
      </c>
      <c r="BV13" s="67">
        <v>10700253.557199998</v>
      </c>
      <c r="BW13" s="67">
        <v>10834565.302990001</v>
      </c>
      <c r="BX13" s="82">
        <v>10932183.21221</v>
      </c>
      <c r="BY13" s="82">
        <v>11043552.81923</v>
      </c>
      <c r="BZ13" s="82">
        <v>11120575</v>
      </c>
      <c r="CA13" s="82">
        <f>11263888627.54/1000</f>
        <v>11263888.627540002</v>
      </c>
      <c r="CB13" s="82">
        <f>11330806897.56/1000</f>
        <v>11330806.897559999</v>
      </c>
      <c r="CC13" s="82">
        <v>11475039.18107</v>
      </c>
      <c r="CD13" s="82">
        <f>11622845665.77/1000</f>
        <v>11622845.66577</v>
      </c>
      <c r="CE13" s="82">
        <v>11841951.364</v>
      </c>
      <c r="CF13" s="82">
        <f>11924592456.21/1000</f>
        <v>11924592.456209999</v>
      </c>
      <c r="CG13" s="82">
        <f>12070250490.37/1000</f>
        <v>12070250.490370002</v>
      </c>
      <c r="CH13" s="82">
        <f>12224445488.88/1000</f>
        <v>12224445.488879999</v>
      </c>
      <c r="CI13" s="82">
        <f>12464238067.18/1000</f>
        <v>12464238.06718</v>
      </c>
      <c r="CJ13" s="82">
        <f>12607294989.05/1000</f>
        <v>12607294.989049999</v>
      </c>
      <c r="CK13" s="82">
        <f>12723131977.8/1000</f>
        <v>12723131.977799999</v>
      </c>
      <c r="CL13" s="82">
        <f>12610784792.24/1000</f>
        <v>12610784.792239999</v>
      </c>
      <c r="CM13" s="82">
        <f>12603551075.06/1000</f>
        <v>12603551.075059999</v>
      </c>
      <c r="CN13" s="82">
        <f>12568559291.29/1000</f>
        <v>12568559.29129</v>
      </c>
      <c r="CO13" s="82">
        <f>12662695696.51/1000</f>
        <v>12662695.69651</v>
      </c>
      <c r="CP13" s="82">
        <f>12796841193.51/1000</f>
        <v>12796841.19351</v>
      </c>
      <c r="CQ13" s="82">
        <f>12990171663.23/1000</f>
        <v>12990171.66323</v>
      </c>
      <c r="CR13" s="82">
        <f>13214711753.33/1000</f>
        <v>13214711.75333</v>
      </c>
      <c r="CS13" s="82">
        <v>13505082.534260001</v>
      </c>
      <c r="CT13" s="82">
        <f>13680657458.31/1000</f>
        <v>13680657.458309999</v>
      </c>
      <c r="CU13" s="82">
        <f>14195072584.1/1000</f>
        <v>14195072.584100001</v>
      </c>
      <c r="CV13" s="82">
        <f>14416522054.1/1000</f>
        <v>14416522.054100001</v>
      </c>
      <c r="CW13" s="82">
        <f>14594171501.22/1000</f>
        <v>14594171.501219999</v>
      </c>
      <c r="CX13" s="82">
        <f>14873402616.71/1000</f>
        <v>14873402.61671</v>
      </c>
      <c r="CY13" s="82">
        <f>15044808743.7/1000</f>
        <v>15044808.743700001</v>
      </c>
      <c r="CZ13" s="82">
        <f>15394845404/1000</f>
        <v>15394845.403999999</v>
      </c>
      <c r="DA13" s="82">
        <f>15670018636.14/1000</f>
        <v>15670018.63614</v>
      </c>
      <c r="DB13" s="82">
        <f>15865181216.38/1000</f>
        <v>15865181.216379998</v>
      </c>
      <c r="DC13" s="82">
        <f>16162837552.68/1000</f>
        <v>16162837.552680001</v>
      </c>
      <c r="DD13" s="82">
        <f>16433115417.36/1000</f>
        <v>16433115.41736</v>
      </c>
      <c r="DE13" s="82">
        <f>16774947509.54/1000</f>
        <v>16774947.509540001</v>
      </c>
      <c r="DF13" s="82">
        <f>16989898577.83/1000</f>
        <v>16989898.577830002</v>
      </c>
      <c r="DG13" s="82">
        <f>17520234283.82/1000</f>
        <v>17520234.28382</v>
      </c>
      <c r="DH13" s="82">
        <f>17706196632.87/1000</f>
        <v>17706196.63287</v>
      </c>
      <c r="DI13" s="82">
        <f>18009190558.53/1000</f>
        <v>18009190.558529999</v>
      </c>
      <c r="DJ13" s="82">
        <f>18364561828.66/1000</f>
        <v>18364561.82866</v>
      </c>
      <c r="DK13" s="82">
        <f>18699745675.17/1000</f>
        <v>18699745.675169997</v>
      </c>
      <c r="DL13" s="82">
        <f>19082114660.26/1000</f>
        <v>19082114.660259999</v>
      </c>
      <c r="DM13" s="82">
        <f>19386281577.21/1000</f>
        <v>19386281.577209998</v>
      </c>
      <c r="DN13" s="113">
        <v>19561092.494279999</v>
      </c>
      <c r="DO13" s="82">
        <f>19788354068.15/1000</f>
        <v>19788354.068150003</v>
      </c>
      <c r="DP13" s="113">
        <f>19915699918.47/1000</f>
        <v>19915699.918470003</v>
      </c>
      <c r="DQ13" s="113">
        <f>19995187740.93/1000</f>
        <v>19995187.740929998</v>
      </c>
      <c r="DR13" s="113">
        <f>20025273932.15/1000</f>
        <v>20025273.932150003</v>
      </c>
      <c r="DS13" s="94">
        <f>20201126597.11/1000</f>
        <v>20201126.59711</v>
      </c>
      <c r="DT13" s="119">
        <f>DS13/DR13-1</f>
        <v>8.7815360506839912E-3</v>
      </c>
      <c r="DU13" s="103">
        <f>IFERROR(DT40,"N/D")</f>
        <v>1.3405942132429516E-2</v>
      </c>
      <c r="DV13" s="119">
        <f>DS13/DG13-1</f>
        <v>0.15301692145554324</v>
      </c>
      <c r="DW13" s="103">
        <f>IFERROR(DT50,"N/D")</f>
        <v>0.21844578707409812</v>
      </c>
    </row>
    <row r="14" spans="2:127" s="15" customFormat="1" x14ac:dyDescent="0.3">
      <c r="B14" s="23" t="s">
        <v>5</v>
      </c>
      <c r="C14" s="24"/>
      <c r="D14" s="25">
        <v>1804928.9750800005</v>
      </c>
      <c r="E14" s="25">
        <v>1818092.9893500002</v>
      </c>
      <c r="F14" s="25">
        <v>1838882.2760099999</v>
      </c>
      <c r="G14" s="25">
        <v>1888841.0684499999</v>
      </c>
      <c r="H14" s="25">
        <v>1908856.8495599998</v>
      </c>
      <c r="I14" s="25">
        <v>1928266.26926</v>
      </c>
      <c r="J14" s="25">
        <v>1942746.59996</v>
      </c>
      <c r="K14" s="25">
        <v>1976729.3110499999</v>
      </c>
      <c r="L14" s="25">
        <v>1980276.2141</v>
      </c>
      <c r="M14" s="25">
        <v>1992424.2000500001</v>
      </c>
      <c r="N14" s="25">
        <v>2016577.0013300001</v>
      </c>
      <c r="O14" s="25">
        <v>2086757.93539</v>
      </c>
      <c r="P14" s="25">
        <v>2084481.8289000001</v>
      </c>
      <c r="Q14" s="25">
        <v>2229654.6423741402</v>
      </c>
      <c r="R14" s="25">
        <v>2204263.3203039798</v>
      </c>
      <c r="S14" s="25">
        <v>2274534.6327024298</v>
      </c>
      <c r="T14" s="25">
        <v>2271800.1486656298</v>
      </c>
      <c r="U14" s="25">
        <v>2280061.8121551299</v>
      </c>
      <c r="V14" s="25">
        <v>2298877.86520566</v>
      </c>
      <c r="W14" s="25">
        <v>2326729.5673905299</v>
      </c>
      <c r="X14" s="25">
        <v>2330316.82224845</v>
      </c>
      <c r="Y14" s="25">
        <v>2361377.7087599998</v>
      </c>
      <c r="Z14" s="25">
        <v>2355390.1125400001</v>
      </c>
      <c r="AA14" s="25">
        <v>2439641.0196699998</v>
      </c>
      <c r="AB14" s="25">
        <v>2486283.7650000001</v>
      </c>
      <c r="AC14" s="25">
        <v>2494984.378</v>
      </c>
      <c r="AD14" s="25">
        <v>2512222.7680000002</v>
      </c>
      <c r="AE14" s="25">
        <v>2560018</v>
      </c>
      <c r="AF14" s="25">
        <v>2664808</v>
      </c>
      <c r="AG14" s="25">
        <v>2713593.2485999898</v>
      </c>
      <c r="AH14" s="25">
        <v>2713413.9991599997</v>
      </c>
      <c r="AI14" s="25">
        <v>2742885</v>
      </c>
      <c r="AJ14" s="25">
        <v>2731743</v>
      </c>
      <c r="AK14" s="25">
        <v>2722032</v>
      </c>
      <c r="AL14" s="25">
        <v>2693421</v>
      </c>
      <c r="AM14" s="25">
        <v>2591087</v>
      </c>
      <c r="AN14" s="25">
        <v>2587626</v>
      </c>
      <c r="AO14" s="25">
        <v>2611484.7750799987</v>
      </c>
      <c r="AP14" s="25">
        <v>2576239.6541598663</v>
      </c>
      <c r="AQ14" s="25">
        <v>2573381.4469098803</v>
      </c>
      <c r="AR14" s="25">
        <v>2605950.9344798899</v>
      </c>
      <c r="AS14" s="25">
        <v>2618573.8576698801</v>
      </c>
      <c r="AT14" s="25">
        <v>2941827.6113798898</v>
      </c>
      <c r="AU14" s="25">
        <v>3053984.3348996202</v>
      </c>
      <c r="AV14" s="25">
        <v>3057006.9646596336</v>
      </c>
      <c r="AW14" s="25">
        <v>3052545.9473796301</v>
      </c>
      <c r="AX14" s="25">
        <v>3111327.727209643</v>
      </c>
      <c r="AY14" s="25">
        <v>3176874.7111796234</v>
      </c>
      <c r="AZ14" s="25">
        <v>3182904.0107096098</v>
      </c>
      <c r="BA14" s="25">
        <v>3184830.8533296105</v>
      </c>
      <c r="BB14" s="25">
        <v>3703331.8106996398</v>
      </c>
      <c r="BC14" s="25">
        <v>3752601.0873296605</v>
      </c>
      <c r="BD14" s="25">
        <v>3770609.9607096589</v>
      </c>
      <c r="BE14" s="25">
        <v>3899704.3861396643</v>
      </c>
      <c r="BF14" s="25">
        <v>3923480.3097196799</v>
      </c>
      <c r="BG14" s="25">
        <v>3972863.6854796973</v>
      </c>
      <c r="BH14" s="25">
        <v>3978451.6989496965</v>
      </c>
      <c r="BI14" s="25">
        <v>4029837.2830997775</v>
      </c>
      <c r="BJ14" s="25">
        <v>4029305.9075997621</v>
      </c>
      <c r="BK14" s="25">
        <v>4125703.73379975</v>
      </c>
      <c r="BL14" s="25">
        <v>4125151</v>
      </c>
      <c r="BM14" s="25">
        <v>4139861</v>
      </c>
      <c r="BN14" s="25">
        <v>4180405</v>
      </c>
      <c r="BO14" s="25">
        <v>4180405</v>
      </c>
      <c r="BP14" s="25">
        <v>4422503.0663899202</v>
      </c>
      <c r="BQ14" s="25">
        <v>4465672.7163500022</v>
      </c>
      <c r="BR14" s="25">
        <f>4498642192.95/1000</f>
        <v>4498642.1929500001</v>
      </c>
      <c r="BS14" s="25">
        <v>4517677.5185600007</v>
      </c>
      <c r="BT14" s="25">
        <v>4528248.9072000002</v>
      </c>
      <c r="BU14" s="25">
        <v>4566748</v>
      </c>
      <c r="BV14" s="25">
        <v>4569453.3421999998</v>
      </c>
      <c r="BW14" s="25">
        <v>4600465.5214299997</v>
      </c>
      <c r="BX14" s="25">
        <v>4601195.23704</v>
      </c>
      <c r="BY14" s="25">
        <f>4666754138.47/1000</f>
        <v>4666754.1384700006</v>
      </c>
      <c r="BZ14" s="25">
        <v>4668481</v>
      </c>
      <c r="CA14" s="25">
        <f>4745814785.6164/1000</f>
        <v>4745814.7856163997</v>
      </c>
      <c r="CB14" s="25">
        <f>4741320176.0726/1000</f>
        <v>4741320.1760726003</v>
      </c>
      <c r="CC14" s="25">
        <v>4790854.4623224996</v>
      </c>
      <c r="CD14" s="25">
        <f>4904901164.32/1000</f>
        <v>4904901.1643199995</v>
      </c>
      <c r="CE14" s="25">
        <v>4978209.7881899904</v>
      </c>
      <c r="CF14" s="25">
        <f>4939301057.3/1000</f>
        <v>4939301.0573000005</v>
      </c>
      <c r="CG14" s="25">
        <f>4993360988.6/1000</f>
        <v>4993360.9886000007</v>
      </c>
      <c r="CH14" s="25">
        <f>5023794992.69/1000</f>
        <v>5023794.9926899998</v>
      </c>
      <c r="CI14" s="25">
        <f>5132992324.52/1000</f>
        <v>5132992.3245200003</v>
      </c>
      <c r="CJ14" s="25">
        <f>5146603774.75/1000</f>
        <v>5146603.7747499999</v>
      </c>
      <c r="CK14" s="25">
        <f>5169310434/1000</f>
        <v>5169310.4340000004</v>
      </c>
      <c r="CL14" s="25">
        <f>5094463485.14/1000</f>
        <v>5094463.4851400005</v>
      </c>
      <c r="CM14" s="25">
        <f>5087810647.68/1000</f>
        <v>5087810.6476800004</v>
      </c>
      <c r="CN14" s="25">
        <f>5068372108.65/1000</f>
        <v>5068372.1086499998</v>
      </c>
      <c r="CO14" s="25">
        <f>5154327808.55/1000</f>
        <v>5154327.8085500002</v>
      </c>
      <c r="CP14" s="25">
        <f>5195171548.22/1000</f>
        <v>5195171.5482200002</v>
      </c>
      <c r="CQ14" s="25">
        <f>5263687952.43/1000</f>
        <v>5263687.9524300005</v>
      </c>
      <c r="CR14" s="25">
        <f>5310738065.95/1000</f>
        <v>5310738.0659499997</v>
      </c>
      <c r="CS14" s="25">
        <v>5391101.4858500008</v>
      </c>
      <c r="CT14" s="25">
        <f>5410732134.31/1000</f>
        <v>5410732.1343100006</v>
      </c>
      <c r="CU14" s="25">
        <f>5571005979.11/1000</f>
        <v>5571005.9791099997</v>
      </c>
      <c r="CV14" s="25">
        <f>5564352971.66/1000</f>
        <v>5564352.9716600003</v>
      </c>
      <c r="CW14" s="25">
        <f>5594574842.52/1000</f>
        <v>5594574.8425200004</v>
      </c>
      <c r="CX14" s="25">
        <f>5676597287.56/1000</f>
        <v>5676597.2875600001</v>
      </c>
      <c r="CY14" s="25">
        <f>5712237484.73/1000</f>
        <v>5712237.4847299997</v>
      </c>
      <c r="CZ14" s="25">
        <f>5771100058.06/1000</f>
        <v>5771100.0580600007</v>
      </c>
      <c r="DA14" s="25">
        <f>5886004992.28/1000</f>
        <v>5886004.9922799999</v>
      </c>
      <c r="DB14" s="25">
        <f>5934333595.45/1000</f>
        <v>5934333.5954499999</v>
      </c>
      <c r="DC14" s="25">
        <f>6019682143.07/1000</f>
        <v>6019682.1430699993</v>
      </c>
      <c r="DD14" s="25">
        <f>6075881989/1000</f>
        <v>6075881.9890000001</v>
      </c>
      <c r="DE14" s="25">
        <f>6158202694.06/1000</f>
        <v>6158202.6940600006</v>
      </c>
      <c r="DF14" s="25">
        <f>6210647057.59/1000</f>
        <v>6210647.0575900003</v>
      </c>
      <c r="DG14" s="25">
        <f>6349194825.59/1000</f>
        <v>6349194.8255900005</v>
      </c>
      <c r="DH14" s="25">
        <f>6328520059.38/1000</f>
        <v>6328520.0593800005</v>
      </c>
      <c r="DI14" s="25">
        <f>6392791643.48/1000</f>
        <v>6392791.6434799992</v>
      </c>
      <c r="DJ14" s="25">
        <f>6465577318.2/1000</f>
        <v>6465577.3181999996</v>
      </c>
      <c r="DK14" s="25">
        <f>6558036439.72/1000</f>
        <v>6558036.4397200001</v>
      </c>
      <c r="DL14" s="25">
        <f>6643559743.58/1000</f>
        <v>6643559.7435799995</v>
      </c>
      <c r="DM14" s="25">
        <f>6802690224.24/1000</f>
        <v>6802690.2242399994</v>
      </c>
      <c r="DN14" s="109">
        <v>6835520.8259300003</v>
      </c>
      <c r="DO14" s="116">
        <f>6948220879.9/1000</f>
        <v>6948220.8799000001</v>
      </c>
      <c r="DP14" s="116">
        <f>6985145496.22/1000</f>
        <v>6985145.4962200001</v>
      </c>
      <c r="DQ14" s="116">
        <f>6971906630.84/1000</f>
        <v>6971906.6308399998</v>
      </c>
      <c r="DR14" s="116">
        <f>6976196983.47/1000</f>
        <v>6976196.9834700003</v>
      </c>
      <c r="DS14" s="116">
        <f>7050613549.92/1000</f>
        <v>7050613.5499200001</v>
      </c>
      <c r="DT14" s="119">
        <f t="shared" ref="DT14:DT16" si="0">DS14/DR14-1</f>
        <v>1.0667211179146596E-2</v>
      </c>
      <c r="DU14" s="103">
        <f>IFERROR(DT42,"N/D")</f>
        <v>9.8054192269096951E-3</v>
      </c>
      <c r="DV14" s="119">
        <f t="shared" ref="DV14:DV16" si="1">DS14/DG14-1</f>
        <v>0.11047364958828787</v>
      </c>
      <c r="DW14" s="103">
        <f>+DT52</f>
        <v>0.14110616012003718</v>
      </c>
    </row>
    <row r="15" spans="2:127" s="15" customFormat="1" x14ac:dyDescent="0.3">
      <c r="B15" s="23" t="s">
        <v>6</v>
      </c>
      <c r="C15" s="24"/>
      <c r="D15" s="25">
        <f t="shared" ref="D15:BO15" si="2">+D13-D14</f>
        <v>1126031.955009999</v>
      </c>
      <c r="E15" s="25">
        <f t="shared" si="2"/>
        <v>1161668.4050400003</v>
      </c>
      <c r="F15" s="25">
        <f t="shared" si="2"/>
        <v>1187560.2396100003</v>
      </c>
      <c r="G15" s="25">
        <f t="shared" si="2"/>
        <v>1214461.5034900003</v>
      </c>
      <c r="H15" s="25">
        <f t="shared" si="2"/>
        <v>1238277.5459200006</v>
      </c>
      <c r="I15" s="25">
        <f t="shared" si="2"/>
        <v>1261268.9524599998</v>
      </c>
      <c r="J15" s="25">
        <f t="shared" si="2"/>
        <v>1276254.8029099999</v>
      </c>
      <c r="K15" s="25">
        <f t="shared" si="2"/>
        <v>1309458.0815000001</v>
      </c>
      <c r="L15" s="25">
        <f t="shared" si="2"/>
        <v>1326388.6753900009</v>
      </c>
      <c r="M15" s="25">
        <f t="shared" si="2"/>
        <v>1342788.8992599999</v>
      </c>
      <c r="N15" s="25">
        <f t="shared" si="2"/>
        <v>1376908.4471999996</v>
      </c>
      <c r="O15" s="25">
        <f t="shared" si="2"/>
        <v>1417864.74153</v>
      </c>
      <c r="P15" s="25">
        <f t="shared" si="2"/>
        <v>1456155.8818000001</v>
      </c>
      <c r="Q15" s="25">
        <f t="shared" si="2"/>
        <v>2568035.8173858589</v>
      </c>
      <c r="R15" s="25">
        <f t="shared" si="2"/>
        <v>2588644.2259760206</v>
      </c>
      <c r="S15" s="25">
        <f t="shared" si="2"/>
        <v>2660845.3280175719</v>
      </c>
      <c r="T15" s="25">
        <f t="shared" si="2"/>
        <v>2748763.2963243718</v>
      </c>
      <c r="U15" s="25">
        <f t="shared" si="2"/>
        <v>2776435.2300348696</v>
      </c>
      <c r="V15" s="25">
        <f t="shared" si="2"/>
        <v>2808313.4601443405</v>
      </c>
      <c r="W15" s="25">
        <f t="shared" si="2"/>
        <v>2844850.0533394604</v>
      </c>
      <c r="X15" s="25">
        <f t="shared" si="2"/>
        <v>2875791.9033915424</v>
      </c>
      <c r="Y15" s="25">
        <f t="shared" si="2"/>
        <v>2915316.1481299782</v>
      </c>
      <c r="Z15" s="25">
        <f t="shared" si="2"/>
        <v>2970310.0539099397</v>
      </c>
      <c r="AA15" s="25">
        <f t="shared" si="2"/>
        <v>3030564.4339299905</v>
      </c>
      <c r="AB15" s="25">
        <f t="shared" si="2"/>
        <v>2997776.1916200002</v>
      </c>
      <c r="AC15" s="25">
        <f t="shared" si="2"/>
        <v>3018096.179</v>
      </c>
      <c r="AD15" s="25">
        <f t="shared" si="2"/>
        <v>3070257.5980000002</v>
      </c>
      <c r="AE15" s="25">
        <f t="shared" si="2"/>
        <v>3062270</v>
      </c>
      <c r="AF15" s="25">
        <f t="shared" si="2"/>
        <v>3141078</v>
      </c>
      <c r="AG15" s="25">
        <f t="shared" si="2"/>
        <v>3207986.3514000005</v>
      </c>
      <c r="AH15" s="25">
        <f t="shared" si="2"/>
        <v>3214157.1518900008</v>
      </c>
      <c r="AI15" s="25">
        <f t="shared" si="2"/>
        <v>3160141</v>
      </c>
      <c r="AJ15" s="25">
        <f t="shared" si="2"/>
        <v>3156883</v>
      </c>
      <c r="AK15" s="25">
        <f t="shared" si="2"/>
        <v>3161803</v>
      </c>
      <c r="AL15" s="25">
        <f t="shared" si="2"/>
        <v>3147608</v>
      </c>
      <c r="AM15" s="25">
        <f t="shared" si="2"/>
        <v>3292750</v>
      </c>
      <c r="AN15" s="25">
        <f t="shared" si="2"/>
        <v>3312045</v>
      </c>
      <c r="AO15" s="25">
        <f t="shared" si="2"/>
        <v>3366526.3174499855</v>
      </c>
      <c r="AP15" s="25">
        <f t="shared" si="2"/>
        <v>3457546.0632000584</v>
      </c>
      <c r="AQ15" s="25">
        <f t="shared" si="2"/>
        <v>3460778.3795400094</v>
      </c>
      <c r="AR15" s="25">
        <f t="shared" si="2"/>
        <v>3433665.202949991</v>
      </c>
      <c r="AS15" s="25">
        <f t="shared" si="2"/>
        <v>3486100.3995200084</v>
      </c>
      <c r="AT15" s="25">
        <f t="shared" si="2"/>
        <v>3855719.4395599905</v>
      </c>
      <c r="AU15" s="25">
        <f t="shared" si="2"/>
        <v>4113627.99373959</v>
      </c>
      <c r="AV15" s="25">
        <f t="shared" si="2"/>
        <v>4180231.2785595669</v>
      </c>
      <c r="AW15" s="25">
        <f t="shared" si="2"/>
        <v>4569394.9854395697</v>
      </c>
      <c r="AX15" s="25">
        <f t="shared" si="2"/>
        <v>4572359.6983994767</v>
      </c>
      <c r="AY15" s="25">
        <f t="shared" si="2"/>
        <v>4677815.7607596442</v>
      </c>
      <c r="AZ15" s="25">
        <f t="shared" si="2"/>
        <v>4761771.9467296675</v>
      </c>
      <c r="BA15" s="25">
        <f t="shared" si="2"/>
        <v>4767571.2984396648</v>
      </c>
      <c r="BB15" s="25">
        <f t="shared" si="2"/>
        <v>4485666.8408396197</v>
      </c>
      <c r="BC15" s="25">
        <f t="shared" si="2"/>
        <v>4574695.0045994399</v>
      </c>
      <c r="BD15" s="25">
        <f t="shared" si="2"/>
        <v>4612215.3779694606</v>
      </c>
      <c r="BE15" s="25">
        <f t="shared" si="2"/>
        <v>4921227.5936808065</v>
      </c>
      <c r="BF15" s="25">
        <f t="shared" si="2"/>
        <v>5021194.486270614</v>
      </c>
      <c r="BG15" s="25">
        <f t="shared" si="2"/>
        <v>5039470.1915205792</v>
      </c>
      <c r="BH15" s="25">
        <f t="shared" si="2"/>
        <v>5118590.5990005899</v>
      </c>
      <c r="BI15" s="25">
        <f t="shared" si="2"/>
        <v>5177245.4607499484</v>
      </c>
      <c r="BJ15" s="25">
        <f t="shared" si="2"/>
        <v>5233971.7660499346</v>
      </c>
      <c r="BK15" s="25">
        <f t="shared" si="2"/>
        <v>5341611.0628398601</v>
      </c>
      <c r="BL15" s="25">
        <f t="shared" si="2"/>
        <v>5346221</v>
      </c>
      <c r="BM15" s="25">
        <f t="shared" si="2"/>
        <v>5472823</v>
      </c>
      <c r="BN15" s="25">
        <f t="shared" si="2"/>
        <v>5653706</v>
      </c>
      <c r="BO15" s="25">
        <f t="shared" si="2"/>
        <v>5653706</v>
      </c>
      <c r="BP15" s="25">
        <f t="shared" ref="BP15:BX15" si="3">+BP13-BP14</f>
        <v>5749959.6724390797</v>
      </c>
      <c r="BQ15" s="25">
        <f t="shared" si="3"/>
        <v>5826273.7729500085</v>
      </c>
      <c r="BR15" s="25">
        <f t="shared" si="3"/>
        <v>5882640.0360500002</v>
      </c>
      <c r="BS15" s="25">
        <f t="shared" si="3"/>
        <v>5910905.4340899987</v>
      </c>
      <c r="BT15" s="25">
        <f t="shared" si="3"/>
        <v>5977417.8913099999</v>
      </c>
      <c r="BU15" s="25">
        <f t="shared" si="3"/>
        <v>6089971</v>
      </c>
      <c r="BV15" s="25">
        <f t="shared" si="3"/>
        <v>6130800.214999998</v>
      </c>
      <c r="BW15" s="25">
        <f t="shared" si="3"/>
        <v>6234099.781560001</v>
      </c>
      <c r="BX15" s="25">
        <f t="shared" si="3"/>
        <v>6330987.9751699995</v>
      </c>
      <c r="BY15" s="25">
        <f>+BY13-BY14</f>
        <v>6376798.680759999</v>
      </c>
      <c r="BZ15" s="25">
        <f>+BZ13-BZ14</f>
        <v>6452094</v>
      </c>
      <c r="CA15" s="25">
        <f>+CA13-CA14</f>
        <v>6518073.8419236019</v>
      </c>
      <c r="CB15" s="25">
        <f>+CB13-CB14</f>
        <v>6589486.7214873983</v>
      </c>
      <c r="CC15" s="25">
        <f t="shared" ref="CC15:CD15" si="4">+CC13-CC14</f>
        <v>6684184.7187475003</v>
      </c>
      <c r="CD15" s="25">
        <f t="shared" si="4"/>
        <v>6717944.5014500003</v>
      </c>
      <c r="CE15" s="25">
        <v>6863741.5758100096</v>
      </c>
      <c r="CF15" s="25">
        <f t="shared" ref="CF15:CR15" si="5">+CF13-CF14</f>
        <v>6985291.3989099981</v>
      </c>
      <c r="CG15" s="25">
        <f t="shared" si="5"/>
        <v>7076889.5017700009</v>
      </c>
      <c r="CH15" s="25">
        <f t="shared" si="5"/>
        <v>7200650.4961899994</v>
      </c>
      <c r="CI15" s="25">
        <f t="shared" si="5"/>
        <v>7331245.74266</v>
      </c>
      <c r="CJ15" s="25">
        <f t="shared" si="5"/>
        <v>7460691.2142999992</v>
      </c>
      <c r="CK15" s="25">
        <f t="shared" si="5"/>
        <v>7553821.5437999982</v>
      </c>
      <c r="CL15" s="25">
        <f t="shared" si="5"/>
        <v>7516321.3070999989</v>
      </c>
      <c r="CM15" s="25">
        <f t="shared" si="5"/>
        <v>7515740.4273799984</v>
      </c>
      <c r="CN15" s="25">
        <f t="shared" si="5"/>
        <v>7500187.1826400002</v>
      </c>
      <c r="CO15" s="25">
        <f t="shared" si="5"/>
        <v>7508367.88796</v>
      </c>
      <c r="CP15" s="25">
        <f t="shared" si="5"/>
        <v>7601669.6452899994</v>
      </c>
      <c r="CQ15" s="25">
        <f t="shared" si="5"/>
        <v>7726483.7107999995</v>
      </c>
      <c r="CR15" s="25">
        <f t="shared" si="5"/>
        <v>7903973.68738</v>
      </c>
      <c r="CS15" s="25">
        <v>8113981.0484100003</v>
      </c>
      <c r="CT15" s="25">
        <f t="shared" ref="CT15:CX15" si="6">+CT13-CT14</f>
        <v>8269925.3239999982</v>
      </c>
      <c r="CU15" s="25">
        <f t="shared" si="6"/>
        <v>8624066.6049900018</v>
      </c>
      <c r="CV15" s="25">
        <f t="shared" si="6"/>
        <v>8852169.08244</v>
      </c>
      <c r="CW15" s="25">
        <f t="shared" si="6"/>
        <v>8999596.6586999986</v>
      </c>
      <c r="CX15" s="25">
        <f t="shared" si="6"/>
        <v>9196805.3291499987</v>
      </c>
      <c r="CY15" s="25">
        <v>9332571.2589700017</v>
      </c>
      <c r="CZ15" s="25">
        <v>9623745.3459399976</v>
      </c>
      <c r="DA15" s="25">
        <v>9784013.6438600011</v>
      </c>
      <c r="DB15" s="25">
        <v>9930847.6209299974</v>
      </c>
      <c r="DC15" s="25">
        <v>10143155.409610001</v>
      </c>
      <c r="DD15" s="25">
        <v>10357233.42836</v>
      </c>
      <c r="DE15" s="25">
        <v>10616744.815480001</v>
      </c>
      <c r="DF15" s="25">
        <v>10779251.520240001</v>
      </c>
      <c r="DG15" s="25">
        <v>11171039.45823</v>
      </c>
      <c r="DH15" s="25">
        <v>11377676.573489999</v>
      </c>
      <c r="DI15" s="25">
        <v>11616398.91505</v>
      </c>
      <c r="DJ15" s="25">
        <v>11898984.51046</v>
      </c>
      <c r="DK15" s="25">
        <v>12141709.235449996</v>
      </c>
      <c r="DL15" s="25">
        <v>12438554.916680001</v>
      </c>
      <c r="DM15" s="25">
        <f>+DM13-DM14</f>
        <v>12583591.352969998</v>
      </c>
      <c r="DN15" s="109">
        <f t="shared" ref="DN15:DS15" si="7">+DN13-DN14</f>
        <v>12725571.66835</v>
      </c>
      <c r="DO15" s="109">
        <f t="shared" si="7"/>
        <v>12840133.188250002</v>
      </c>
      <c r="DP15" s="109">
        <f t="shared" si="7"/>
        <v>12930554.422250003</v>
      </c>
      <c r="DQ15" s="109">
        <f t="shared" si="7"/>
        <v>13023281.110089999</v>
      </c>
      <c r="DR15" s="109">
        <f t="shared" si="7"/>
        <v>13049076.948680002</v>
      </c>
      <c r="DS15" s="109">
        <f t="shared" si="7"/>
        <v>13150513.047189999</v>
      </c>
      <c r="DT15" s="119">
        <f t="shared" si="0"/>
        <v>7.7734309414321245E-3</v>
      </c>
      <c r="DU15" s="103">
        <f>IFERROR(DT43,"N/D")</f>
        <v>1.5412773511044975E-2</v>
      </c>
      <c r="DV15" s="119">
        <f t="shared" si="1"/>
        <v>0.17719690243343189</v>
      </c>
      <c r="DW15" s="103">
        <f>+DT53</f>
        <v>0.26521330803452248</v>
      </c>
    </row>
    <row r="16" spans="2:127" s="15" customFormat="1" x14ac:dyDescent="0.3">
      <c r="B16" s="26" t="s">
        <v>45</v>
      </c>
      <c r="C16" s="27"/>
      <c r="D16" s="28">
        <v>2246616.9750800002</v>
      </c>
      <c r="E16" s="28">
        <v>2271343.9893499999</v>
      </c>
      <c r="F16" s="28">
        <v>2300906.2760099997</v>
      </c>
      <c r="G16" s="28">
        <v>2361467.0684499997</v>
      </c>
      <c r="H16" s="28">
        <v>2393975.84956</v>
      </c>
      <c r="I16" s="28">
        <v>2422964.26926</v>
      </c>
      <c r="J16" s="28">
        <v>2444388.5999599998</v>
      </c>
      <c r="K16" s="28">
        <v>2493840.3110500001</v>
      </c>
      <c r="L16" s="28">
        <v>2504021.2141</v>
      </c>
      <c r="M16" s="28">
        <v>2523020.2000500001</v>
      </c>
      <c r="N16" s="28">
        <v>2556814.0013299999</v>
      </c>
      <c r="O16" s="28">
        <v>2642432.9353900002</v>
      </c>
      <c r="P16" s="28">
        <v>2650107.8289000001</v>
      </c>
      <c r="Q16" s="28">
        <v>2966311.5486234501</v>
      </c>
      <c r="R16" s="28">
        <v>2948729.7605882999</v>
      </c>
      <c r="S16" s="28">
        <v>3039556.9197827401</v>
      </c>
      <c r="T16" s="28">
        <v>3044842.20689337</v>
      </c>
      <c r="U16" s="28">
        <v>3057850.5020287898</v>
      </c>
      <c r="V16" s="28">
        <v>3085811.5549810701</v>
      </c>
      <c r="W16" s="28">
        <v>3124314.86977759</v>
      </c>
      <c r="X16" s="28">
        <v>3136416.9581800099</v>
      </c>
      <c r="Y16" s="28">
        <v>3181655.7087599998</v>
      </c>
      <c r="Z16" s="28">
        <v>3187436.1125400001</v>
      </c>
      <c r="AA16" s="28">
        <v>3287036.0196699998</v>
      </c>
      <c r="AB16" s="28">
        <v>3356702.7650000001</v>
      </c>
      <c r="AC16" s="28">
        <v>3350454.378</v>
      </c>
      <c r="AD16" s="28">
        <v>3400802.7680000002</v>
      </c>
      <c r="AE16" s="28">
        <v>3462719</v>
      </c>
      <c r="AF16" s="28">
        <v>3598833</v>
      </c>
      <c r="AG16" s="28">
        <v>3668127.1664516903</v>
      </c>
      <c r="AH16" s="28">
        <v>3670240.2655660901</v>
      </c>
      <c r="AI16" s="28">
        <v>3697129</v>
      </c>
      <c r="AJ16" s="28">
        <v>3685435</v>
      </c>
      <c r="AK16" s="28">
        <v>3677185</v>
      </c>
      <c r="AL16" s="28">
        <v>3648057</v>
      </c>
      <c r="AM16" s="28">
        <v>3524353</v>
      </c>
      <c r="AN16" s="28">
        <v>3513258</v>
      </c>
      <c r="AO16" s="28">
        <v>3553209.5530030862</v>
      </c>
      <c r="AP16" s="28">
        <v>3522635.6850111596</v>
      </c>
      <c r="AQ16" s="28">
        <v>3517329.9584667548</v>
      </c>
      <c r="AR16" s="28">
        <v>3553734.79096225</v>
      </c>
      <c r="AS16" s="28">
        <v>3574589.3033777801</v>
      </c>
      <c r="AT16" s="28">
        <v>4035730.8585110698</v>
      </c>
      <c r="AU16" s="28">
        <v>4190133.2593693398</v>
      </c>
      <c r="AV16" s="28">
        <v>4204074.8891293546</v>
      </c>
      <c r="AW16" s="28">
        <v>4339074.7420398695</v>
      </c>
      <c r="AX16" s="28">
        <v>4369217.3459676234</v>
      </c>
      <c r="AY16" s="28">
        <v>4461030.7083124025</v>
      </c>
      <c r="AZ16" s="28">
        <v>4483830.007842388</v>
      </c>
      <c r="BA16" s="28">
        <v>4489084.8504623901</v>
      </c>
      <c r="BB16" s="28">
        <v>5189297.5044860402</v>
      </c>
      <c r="BC16" s="28">
        <v>5265414.8539429018</v>
      </c>
      <c r="BD16" s="28">
        <v>5296374.6907213302</v>
      </c>
      <c r="BE16" s="28">
        <v>5496227.8203121107</v>
      </c>
      <c r="BF16" s="28">
        <v>5539822.5796265798</v>
      </c>
      <c r="BG16" s="28">
        <v>5608130.7853865968</v>
      </c>
      <c r="BH16" s="28">
        <v>5631108.290047328</v>
      </c>
      <c r="BI16" s="28">
        <v>5719089.4618911762</v>
      </c>
      <c r="BJ16" s="28">
        <v>5737427.1163911605</v>
      </c>
      <c r="BK16" s="28">
        <v>5872497.1283989204</v>
      </c>
      <c r="BL16" s="28">
        <v>5872569</v>
      </c>
      <c r="BM16" s="28">
        <v>5926034</v>
      </c>
      <c r="BN16" s="28">
        <v>6025619</v>
      </c>
      <c r="BO16" s="28">
        <v>6025619</v>
      </c>
      <c r="BP16" s="28">
        <v>6329006.8270098306</v>
      </c>
      <c r="BQ16" s="28">
        <v>6401644.7888847906</v>
      </c>
      <c r="BR16" s="28">
        <f>6460382017.88634/1000</f>
        <v>6460382.0178863397</v>
      </c>
      <c r="BS16" s="81">
        <v>6486766.9276036462</v>
      </c>
      <c r="BT16" s="81">
        <v>6502225.4407056402</v>
      </c>
      <c r="BU16" s="81">
        <v>6584461</v>
      </c>
      <c r="BV16" s="67">
        <v>6709579.4857897889</v>
      </c>
      <c r="BW16" s="67">
        <v>6702133.4540942684</v>
      </c>
      <c r="BX16" s="67">
        <v>6731739.2691228902</v>
      </c>
      <c r="BY16" s="67">
        <f>6789495741.28415/1000</f>
        <v>6789495.7412841497</v>
      </c>
      <c r="BZ16" s="88">
        <v>6806666</v>
      </c>
      <c r="CA16" s="88">
        <f>6916280837.81956/1000</f>
        <v>6916280.8378195604</v>
      </c>
      <c r="CB16" s="88">
        <f>6937854213.16514/1000</f>
        <v>6937854.2131651398</v>
      </c>
      <c r="CC16" s="88">
        <v>7019436.4107005103</v>
      </c>
      <c r="CD16" s="88">
        <f>7157331119.14/1000</f>
        <v>7157331.1191400001</v>
      </c>
      <c r="CE16" s="88">
        <v>7269383.0381400008</v>
      </c>
      <c r="CF16" s="88">
        <f>7267837112.23/1000</f>
        <v>7267837.1122299992</v>
      </c>
      <c r="CG16" s="88">
        <f>7360290182.88/1000</f>
        <v>7360290.1828800002</v>
      </c>
      <c r="CH16" s="88">
        <f>7430589697.37/1000</f>
        <v>7430589.6973700002</v>
      </c>
      <c r="CI16" s="88">
        <f>7571012074.16/1000</f>
        <v>7571012.0741600003</v>
      </c>
      <c r="CJ16" s="88">
        <f>7618992871.36/1000</f>
        <v>7618992.8713599993</v>
      </c>
      <c r="CK16" s="92">
        <f>7673268781.48/1000</f>
        <v>7673268.7814799994</v>
      </c>
      <c r="CL16" s="94">
        <f>7591096326.62/1000</f>
        <v>7591096.3266199995</v>
      </c>
      <c r="CM16" s="94">
        <f>7584190548.74/1000</f>
        <v>7584190.5487399995</v>
      </c>
      <c r="CN16" s="94">
        <f>7558849339.01/1000</f>
        <v>7558849.3390100002</v>
      </c>
      <c r="CO16" s="94">
        <f>7675183034.29/1000</f>
        <v>7675183.0342899999</v>
      </c>
      <c r="CP16" s="94">
        <f>7742161559.8/1000</f>
        <v>7742161.5597999999</v>
      </c>
      <c r="CQ16" s="94">
        <f>7847086144.25/1000</f>
        <v>7847086.1442499999</v>
      </c>
      <c r="CR16" s="94">
        <f>7942001964.86/1000</f>
        <v>7942001.9648599997</v>
      </c>
      <c r="CS16" s="94">
        <v>8070382.0309600001</v>
      </c>
      <c r="CT16" s="94">
        <f>8117444705.8/1000</f>
        <v>8117444.7058000006</v>
      </c>
      <c r="CU16" s="94">
        <f>8360692707.94/1000</f>
        <v>8360692.7079399992</v>
      </c>
      <c r="CV16" s="94">
        <f>8389695522.14/1000</f>
        <v>8389695.52214</v>
      </c>
      <c r="CW16" s="94">
        <f>8445832485.63/1000</f>
        <v>8445832.48563</v>
      </c>
      <c r="CX16" s="94">
        <f>8557955945.86/1000</f>
        <v>8557955.9458600003</v>
      </c>
      <c r="CY16" s="94">
        <f>8624772047.07/1000</f>
        <v>8624772.0470700003</v>
      </c>
      <c r="CZ16" s="94">
        <f>8753476900.7/1000</f>
        <v>8753476.900700001</v>
      </c>
      <c r="DA16" s="94">
        <f>8917890130.85/1000</f>
        <v>8917890.1308500003</v>
      </c>
      <c r="DB16" s="94">
        <f>9004322331.05/1000</f>
        <v>9004322.3310499992</v>
      </c>
      <c r="DC16" s="94">
        <f>9136369280.82/1000</f>
        <v>9136369.2808199991</v>
      </c>
      <c r="DD16" s="94">
        <f>9238398757.58/1000</f>
        <v>9238398.757579999</v>
      </c>
      <c r="DE16" s="94">
        <f>9377464088.84/1000</f>
        <v>9377464.0888400003</v>
      </c>
      <c r="DF16" s="94">
        <f>9468836491.81/1000</f>
        <v>9468836.4918099996</v>
      </c>
      <c r="DG16" s="94">
        <f>9688206131.04/1000</f>
        <v>9688206.1310400013</v>
      </c>
      <c r="DH16" s="94">
        <f>9711205494.69/1000</f>
        <v>9711205.494690001</v>
      </c>
      <c r="DI16" s="94">
        <f>9829379386.53/1000</f>
        <v>9829379.3865300007</v>
      </c>
      <c r="DJ16" s="94">
        <f>9958218888.18/1000</f>
        <v>9958218.8881800007</v>
      </c>
      <c r="DK16" s="94">
        <f>10113400204.63/1000</f>
        <v>10113400.204629999</v>
      </c>
      <c r="DL16" s="94">
        <f>10274055736.88/1000</f>
        <v>10274055.736879999</v>
      </c>
      <c r="DM16" s="94">
        <f>10274055736.88/1000</f>
        <v>10274055.736879999</v>
      </c>
      <c r="DN16" s="115">
        <v>10579498.811009999</v>
      </c>
      <c r="DO16" s="94">
        <f>10744358871.98/1000</f>
        <v>10744358.87198</v>
      </c>
      <c r="DP16" s="94">
        <f>10826439429.93/1000</f>
        <v>10826439.42993</v>
      </c>
      <c r="DQ16" s="94">
        <f>10855304482.16/1000</f>
        <v>10855304.48216</v>
      </c>
      <c r="DR16" s="94">
        <f>10895934884.67/1000</f>
        <v>10895934.884670001</v>
      </c>
      <c r="DS16" s="94">
        <f>11016994230.77/1000</f>
        <v>11016994.230770001</v>
      </c>
      <c r="DT16" s="119">
        <f t="shared" si="0"/>
        <v>1.1110505650169022E-2</v>
      </c>
      <c r="DU16" s="103">
        <f>+DT41</f>
        <v>1.1716800475527034E-2</v>
      </c>
      <c r="DV16" s="119">
        <f t="shared" si="1"/>
        <v>0.13715522582376738</v>
      </c>
      <c r="DW16" s="103">
        <f>+DT51</f>
        <v>0.16228579825504741</v>
      </c>
    </row>
    <row r="17" spans="1:127" s="15" customFormat="1" x14ac:dyDescent="0.3">
      <c r="B17" s="29" t="s">
        <v>1</v>
      </c>
      <c r="C17" s="30"/>
      <c r="D17" s="31">
        <f t="shared" ref="D17:BO17" si="8">+D$11/D16</f>
        <v>2.5898696802947575E-2</v>
      </c>
      <c r="E17" s="31">
        <f t="shared" si="8"/>
        <v>2.6429795277258656E-2</v>
      </c>
      <c r="F17" s="31">
        <f t="shared" si="8"/>
        <v>2.6797731644100119E-2</v>
      </c>
      <c r="G17" s="31">
        <f t="shared" si="8"/>
        <v>2.6806465908704186E-2</v>
      </c>
      <c r="H17" s="31">
        <f t="shared" si="8"/>
        <v>2.7145075429641102E-2</v>
      </c>
      <c r="I17" s="31">
        <f t="shared" si="8"/>
        <v>2.748490687953237E-2</v>
      </c>
      <c r="J17" s="31">
        <f t="shared" si="8"/>
        <v>2.7911732694286734E-2</v>
      </c>
      <c r="K17" s="31">
        <f t="shared" si="8"/>
        <v>2.8020467546947224E-2</v>
      </c>
      <c r="L17" s="31">
        <f t="shared" si="8"/>
        <v>2.8577987007496454E-2</v>
      </c>
      <c r="M17" s="31">
        <f t="shared" si="8"/>
        <v>2.9130521824020067E-2</v>
      </c>
      <c r="N17" s="31">
        <f t="shared" si="8"/>
        <v>2.943925155443106E-2</v>
      </c>
      <c r="O17" s="31">
        <f t="shared" si="8"/>
        <v>2.9162372388335359E-2</v>
      </c>
      <c r="P17" s="31">
        <f t="shared" si="8"/>
        <v>3.0005534950648182E-2</v>
      </c>
      <c r="Q17" s="31">
        <f t="shared" si="8"/>
        <v>2.7693173928802717E-2</v>
      </c>
      <c r="R17" s="31">
        <f t="shared" si="8"/>
        <v>2.8737215113988347E-2</v>
      </c>
      <c r="S17" s="31">
        <f t="shared" si="8"/>
        <v>2.4903174784241401E-2</v>
      </c>
      <c r="T17" s="31">
        <f t="shared" si="8"/>
        <v>2.6183037987817768E-2</v>
      </c>
      <c r="U17" s="31">
        <f t="shared" si="8"/>
        <v>2.6098693679449413E-2</v>
      </c>
      <c r="V17" s="31">
        <f t="shared" si="8"/>
        <v>3.098124808550938E-2</v>
      </c>
      <c r="W17" s="31">
        <f t="shared" si="8"/>
        <v>3.0635495015524362E-2</v>
      </c>
      <c r="X17" s="31">
        <f t="shared" si="8"/>
        <v>3.1396613942918337E-2</v>
      </c>
      <c r="Y17" s="31">
        <f t="shared" si="8"/>
        <v>3.2683269601954279E-2</v>
      </c>
      <c r="Z17" s="31">
        <f t="shared" si="8"/>
        <v>3.2631516020290033E-2</v>
      </c>
      <c r="AA17" s="31">
        <f t="shared" si="8"/>
        <v>3.2531207127062547E-2</v>
      </c>
      <c r="AB17" s="31">
        <f t="shared" si="8"/>
        <v>3.3501924588786161E-2</v>
      </c>
      <c r="AC17" s="31">
        <f t="shared" si="8"/>
        <v>3.4495648327255032E-2</v>
      </c>
      <c r="AD17" s="31">
        <f t="shared" si="8"/>
        <v>3.4881340054825551E-2</v>
      </c>
      <c r="AE17" s="31">
        <f t="shared" si="8"/>
        <v>3.510894238025089E-2</v>
      </c>
      <c r="AF17" s="31">
        <f t="shared" si="8"/>
        <v>3.4637279348611064E-2</v>
      </c>
      <c r="AG17" s="31">
        <f t="shared" si="8"/>
        <v>3.479333169723707E-2</v>
      </c>
      <c r="AH17" s="31">
        <f t="shared" si="8"/>
        <v>3.5620269565604504E-2</v>
      </c>
      <c r="AI17" s="31">
        <f t="shared" si="8"/>
        <v>3.6258336782406024E-2</v>
      </c>
      <c r="AJ17" s="31">
        <f t="shared" si="8"/>
        <v>3.7186351958452664E-2</v>
      </c>
      <c r="AK17" s="31">
        <f t="shared" si="8"/>
        <v>3.8117180797267475E-2</v>
      </c>
      <c r="AL17" s="31">
        <f t="shared" si="8"/>
        <v>3.9273842659256687E-2</v>
      </c>
      <c r="AM17" s="31">
        <f t="shared" si="8"/>
        <v>4.1531220195593348E-2</v>
      </c>
      <c r="AN17" s="31">
        <f t="shared" si="8"/>
        <v>4.2527822582343798E-2</v>
      </c>
      <c r="AO17" s="31">
        <f t="shared" si="8"/>
        <v>4.290184339990926E-2</v>
      </c>
      <c r="AP17" s="31">
        <f t="shared" si="8"/>
        <v>4.4088752254693629E-2</v>
      </c>
      <c r="AQ17" s="31">
        <f t="shared" si="8"/>
        <v>4.5040011847241476E-2</v>
      </c>
      <c r="AR17" s="31">
        <f t="shared" si="8"/>
        <v>4.5490935736435846E-2</v>
      </c>
      <c r="AS17" s="31">
        <f t="shared" si="8"/>
        <v>4.6128691196548763E-2</v>
      </c>
      <c r="AT17" s="31">
        <f t="shared" si="8"/>
        <v>4.1670058293244015E-2</v>
      </c>
      <c r="AU17" s="31">
        <f t="shared" si="8"/>
        <v>4.7902625832050572E-2</v>
      </c>
      <c r="AV17" s="31">
        <f t="shared" si="8"/>
        <v>4.8839153715104625E-2</v>
      </c>
      <c r="AW17" s="31">
        <f t="shared" si="8"/>
        <v>4.8295319269260582E-2</v>
      </c>
      <c r="AX17" s="31">
        <f t="shared" si="8"/>
        <v>4.8778085948663466E-2</v>
      </c>
      <c r="AY17" s="31">
        <f t="shared" si="8"/>
        <v>4.8604710267064082E-2</v>
      </c>
      <c r="AZ17" s="31">
        <f t="shared" si="8"/>
        <v>4.7539361690157267E-2</v>
      </c>
      <c r="BA17" s="31">
        <f t="shared" si="8"/>
        <v>4.8047131547933088E-2</v>
      </c>
      <c r="BB17" s="31">
        <f t="shared" si="8"/>
        <v>4.9737800507077157E-2</v>
      </c>
      <c r="BC17" s="31">
        <f t="shared" si="8"/>
        <v>4.9567658254802006E-2</v>
      </c>
      <c r="BD17" s="31">
        <f t="shared" si="8"/>
        <v>4.9733769081984174E-2</v>
      </c>
      <c r="BE17" s="31">
        <f t="shared" si="8"/>
        <v>4.8381664751462133E-2</v>
      </c>
      <c r="BF17" s="31">
        <f t="shared" si="8"/>
        <v>4.8562673494163468E-2</v>
      </c>
      <c r="BG17" s="31">
        <f t="shared" si="8"/>
        <v>4.8438443243486853E-2</v>
      </c>
      <c r="BH17" s="31">
        <f t="shared" si="8"/>
        <v>4.8893666771889763E-2</v>
      </c>
      <c r="BI17" s="31">
        <f t="shared" si="8"/>
        <v>4.8776408917680265E-2</v>
      </c>
      <c r="BJ17" s="31">
        <f t="shared" si="8"/>
        <v>4.9243750581656677E-2</v>
      </c>
      <c r="BK17" s="31">
        <f t="shared" si="8"/>
        <v>4.8726612359879552E-2</v>
      </c>
      <c r="BL17" s="31">
        <f t="shared" si="8"/>
        <v>4.9551676474129128E-2</v>
      </c>
      <c r="BM17" s="31">
        <f t="shared" si="8"/>
        <v>4.9104618562768966E-2</v>
      </c>
      <c r="BN17" s="31">
        <f t="shared" si="8"/>
        <v>4.9883745877394518E-2</v>
      </c>
      <c r="BO17" s="31">
        <f t="shared" si="8"/>
        <v>5.0699024538391819E-2</v>
      </c>
      <c r="BP17" s="31">
        <f t="shared" ref="BP17:DS17" si="9">+BP$11/BP16</f>
        <v>4.9073013837581315E-2</v>
      </c>
      <c r="BQ17" s="31">
        <f t="shared" si="9"/>
        <v>4.9237356084999205E-2</v>
      </c>
      <c r="BR17" s="31">
        <f t="shared" si="9"/>
        <v>4.9616090974581646E-2</v>
      </c>
      <c r="BS17" s="31">
        <f t="shared" si="9"/>
        <v>5.0209515730252972E-2</v>
      </c>
      <c r="BT17" s="31">
        <f t="shared" si="9"/>
        <v>5.0901317085690276E-2</v>
      </c>
      <c r="BU17" s="31">
        <f t="shared" si="9"/>
        <v>5.1060671480930631E-2</v>
      </c>
      <c r="BV17" s="31">
        <f t="shared" si="9"/>
        <v>5.0161005717690423E-2</v>
      </c>
      <c r="BW17" s="31">
        <f t="shared" si="9"/>
        <v>5.0297547485281473E-2</v>
      </c>
      <c r="BX17" s="31">
        <f t="shared" si="9"/>
        <v>5.0144192869784443E-2</v>
      </c>
      <c r="BY17" s="31">
        <f t="shared" si="9"/>
        <v>5.0509736404244054E-2</v>
      </c>
      <c r="BZ17" s="31">
        <f t="shared" si="9"/>
        <v>5.1985803328678096E-2</v>
      </c>
      <c r="CA17" s="31">
        <f t="shared" si="9"/>
        <v>5.1182421347656E-2</v>
      </c>
      <c r="CB17" s="31">
        <f t="shared" si="9"/>
        <v>5.183786902260748E-2</v>
      </c>
      <c r="CC17" s="31">
        <f t="shared" si="9"/>
        <v>5.2044439529802984E-2</v>
      </c>
      <c r="CD17" s="31">
        <f t="shared" si="9"/>
        <v>5.1881850346001374E-2</v>
      </c>
      <c r="CE17" s="31">
        <f t="shared" si="9"/>
        <v>5.1907201087115551E-2</v>
      </c>
      <c r="CF17" s="31">
        <f t="shared" si="9"/>
        <v>5.2722012626729049E-2</v>
      </c>
      <c r="CG17" s="31">
        <f t="shared" si="9"/>
        <v>5.288318564332696E-2</v>
      </c>
      <c r="CH17" s="31">
        <f t="shared" si="9"/>
        <v>5.3240600392728286E-2</v>
      </c>
      <c r="CI17" s="31">
        <f t="shared" si="9"/>
        <v>5.4387160976187614E-2</v>
      </c>
      <c r="CJ17" s="31">
        <f t="shared" si="9"/>
        <v>5.4068322176611665E-2</v>
      </c>
      <c r="CK17" s="31">
        <f t="shared" si="9"/>
        <v>5.4504498879202994E-2</v>
      </c>
      <c r="CL17" s="31">
        <f t="shared" si="9"/>
        <v>5.6733288114097551E-2</v>
      </c>
      <c r="CM17" s="31">
        <f t="shared" si="9"/>
        <v>5.6831986427557303E-2</v>
      </c>
      <c r="CN17" s="31">
        <f t="shared" si="9"/>
        <v>5.7022516920075601E-2</v>
      </c>
      <c r="CO17" s="31">
        <f t="shared" si="9"/>
        <v>5.615821960262507E-2</v>
      </c>
      <c r="CP17" s="31">
        <f t="shared" si="9"/>
        <v>5.8230244326191255E-2</v>
      </c>
      <c r="CQ17" s="31">
        <f t="shared" si="9"/>
        <v>5.8910686727803599E-2</v>
      </c>
      <c r="CR17" s="31">
        <f t="shared" si="9"/>
        <v>5.8297171551777834E-2</v>
      </c>
      <c r="CS17" s="31">
        <f t="shared" si="9"/>
        <v>5.8864262113932461E-2</v>
      </c>
      <c r="CT17" s="31">
        <f t="shared" si="9"/>
        <v>5.9445328622345535E-2</v>
      </c>
      <c r="CU17" s="31">
        <f t="shared" si="9"/>
        <v>5.8590713188727744E-2</v>
      </c>
      <c r="CV17" s="31">
        <f t="shared" si="9"/>
        <v>5.9149522851029528E-2</v>
      </c>
      <c r="CW17" s="31">
        <f t="shared" si="9"/>
        <v>5.8756373376375758E-2</v>
      </c>
      <c r="CX17" s="31">
        <f t="shared" si="9"/>
        <v>5.8044622689405724E-2</v>
      </c>
      <c r="CY17" s="31">
        <f t="shared" si="9"/>
        <v>6.0204470019169849E-2</v>
      </c>
      <c r="CZ17" s="31">
        <f t="shared" si="9"/>
        <v>6.0237120735171408E-2</v>
      </c>
      <c r="DA17" s="31">
        <f t="shared" si="9"/>
        <v>6.0743399703486606E-2</v>
      </c>
      <c r="DB17" s="31">
        <f t="shared" si="9"/>
        <v>6.0318568185537789E-2</v>
      </c>
      <c r="DC17" s="31">
        <f t="shared" si="9"/>
        <v>6.1253161619116654E-2</v>
      </c>
      <c r="DD17" s="31">
        <f t="shared" si="9"/>
        <v>6.1451827520888853E-2</v>
      </c>
      <c r="DE17" s="31">
        <f t="shared" si="9"/>
        <v>6.0548583817635962E-2</v>
      </c>
      <c r="DF17" s="31">
        <f t="shared" si="9"/>
        <v>6.1755999391876884E-2</v>
      </c>
      <c r="DG17" s="31">
        <f t="shared" si="9"/>
        <v>6.2324939495809639E-2</v>
      </c>
      <c r="DH17" s="31">
        <f t="shared" si="9"/>
        <v>6.2859619122856022E-2</v>
      </c>
      <c r="DI17" s="31">
        <f t="shared" si="9"/>
        <v>6.3069199703446391E-2</v>
      </c>
      <c r="DJ17" s="31">
        <f t="shared" si="9"/>
        <v>6.3350386349591239E-2</v>
      </c>
      <c r="DK17" s="31">
        <f t="shared" si="9"/>
        <v>6.3240781280186578E-2</v>
      </c>
      <c r="DL17" s="31">
        <f t="shared" si="9"/>
        <v>6.2758900601001394E-2</v>
      </c>
      <c r="DM17" s="31">
        <f t="shared" si="9"/>
        <v>6.384397425988593E-2</v>
      </c>
      <c r="DN17" s="110">
        <f t="shared" si="9"/>
        <v>6.3179196425108261E-2</v>
      </c>
      <c r="DO17" s="110">
        <f t="shared" si="9"/>
        <v>6.2987879483895531E-2</v>
      </c>
      <c r="DP17" s="110">
        <f t="shared" si="9"/>
        <v>6.3454033997624448E-2</v>
      </c>
      <c r="DQ17" s="110">
        <f t="shared" si="9"/>
        <v>6.443970539376434E-2</v>
      </c>
      <c r="DR17" s="110">
        <f t="shared" si="9"/>
        <v>6.5171783005888134E-2</v>
      </c>
      <c r="DS17" s="110">
        <f t="shared" si="9"/>
        <v>6.6456393898722085E-2</v>
      </c>
      <c r="DT17" s="120"/>
      <c r="DU17" s="104"/>
      <c r="DV17" s="120"/>
      <c r="DW17" s="104"/>
    </row>
    <row r="18" spans="1:127" s="20" customFormat="1" ht="13.5" customHeight="1" x14ac:dyDescent="0.3">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111"/>
      <c r="DO18" s="33"/>
      <c r="DP18" s="33"/>
      <c r="DQ18" s="33"/>
      <c r="DR18" s="33"/>
      <c r="DS18" s="33"/>
      <c r="DT18" s="120"/>
      <c r="DU18" s="104"/>
      <c r="DV18" s="120"/>
      <c r="DW18" s="104"/>
    </row>
    <row r="19" spans="1:127" s="15" customFormat="1" ht="16.2" x14ac:dyDescent="0.3">
      <c r="B19" s="16" t="s">
        <v>29</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93">
        <v>9035959</v>
      </c>
      <c r="CL19" s="94">
        <v>9063505</v>
      </c>
      <c r="CM19" s="94">
        <v>9063669</v>
      </c>
      <c r="CN19" s="94">
        <v>9094806</v>
      </c>
      <c r="CO19" s="94">
        <v>9125164</v>
      </c>
      <c r="CP19" s="94">
        <v>9148429</v>
      </c>
      <c r="CQ19" s="94">
        <v>9184744</v>
      </c>
      <c r="CR19" s="94">
        <v>9227764</v>
      </c>
      <c r="CS19" s="94">
        <v>9257133</v>
      </c>
      <c r="CT19" s="94">
        <v>9274531</v>
      </c>
      <c r="CU19" s="97">
        <v>9344982</v>
      </c>
      <c r="CV19" s="97">
        <v>9362347</v>
      </c>
      <c r="CW19" s="97">
        <v>9397195</v>
      </c>
      <c r="CX19" s="97">
        <v>9524535</v>
      </c>
      <c r="CY19" s="97">
        <v>9570279</v>
      </c>
      <c r="CZ19" s="94">
        <v>9646263</v>
      </c>
      <c r="DA19" s="94">
        <v>9730035</v>
      </c>
      <c r="DB19" s="94">
        <v>9672929</v>
      </c>
      <c r="DC19" s="94">
        <v>9735671</v>
      </c>
      <c r="DD19" s="94">
        <v>9795282</v>
      </c>
      <c r="DE19" s="94">
        <v>9861876</v>
      </c>
      <c r="DF19" s="94">
        <v>9960225</v>
      </c>
      <c r="DG19" s="94">
        <v>10061389</v>
      </c>
      <c r="DH19" s="94">
        <v>10239792</v>
      </c>
      <c r="DI19" s="94">
        <f>+DI20+DI21</f>
        <v>10284098</v>
      </c>
      <c r="DJ19" s="94">
        <v>10313807</v>
      </c>
      <c r="DK19" s="94">
        <v>10364323</v>
      </c>
      <c r="DL19" s="94">
        <v>10442063</v>
      </c>
      <c r="DM19" s="94">
        <v>10528212</v>
      </c>
      <c r="DN19" s="115">
        <v>10606879</v>
      </c>
      <c r="DO19" s="94">
        <v>10697388</v>
      </c>
      <c r="DP19" s="94">
        <v>10788764</v>
      </c>
      <c r="DQ19" s="94">
        <v>10863485</v>
      </c>
      <c r="DR19" s="94">
        <v>10939221</v>
      </c>
      <c r="DS19" s="94">
        <v>10991172</v>
      </c>
      <c r="DT19" s="119">
        <f>DS19/DR19-1</f>
        <v>4.7490584567220218E-3</v>
      </c>
      <c r="DU19" s="103">
        <f>+DT44</f>
        <v>7.6051381512478589E-3</v>
      </c>
      <c r="DV19" s="119">
        <f>DS19/DG19-1</f>
        <v>9.241099812361897E-2</v>
      </c>
      <c r="DW19" s="103">
        <f>IFERROR(DT54,"N/D")</f>
        <v>9.1058019171398108E-2</v>
      </c>
    </row>
    <row r="20" spans="1:127" s="20" customFormat="1" ht="15" customHeight="1" x14ac:dyDescent="0.3">
      <c r="B20" s="135" t="s">
        <v>2</v>
      </c>
      <c r="C20" s="136"/>
      <c r="D20" s="34">
        <v>3305716</v>
      </c>
      <c r="E20" s="34">
        <v>3315890</v>
      </c>
      <c r="F20" s="34">
        <v>3345183</v>
      </c>
      <c r="G20" s="34">
        <v>3374322</v>
      </c>
      <c r="H20" s="34">
        <v>3401290</v>
      </c>
      <c r="I20" s="34">
        <v>3429229</v>
      </c>
      <c r="J20" s="34">
        <v>3450994</v>
      </c>
      <c r="K20" s="34">
        <v>3480954</v>
      </c>
      <c r="L20" s="34">
        <v>3509331</v>
      </c>
      <c r="M20" s="34">
        <v>3528358</v>
      </c>
      <c r="N20" s="34">
        <v>3559167</v>
      </c>
      <c r="O20" s="34">
        <v>3535014</v>
      </c>
      <c r="P20" s="34">
        <v>3561657</v>
      </c>
      <c r="Q20" s="34">
        <v>4310903</v>
      </c>
      <c r="R20" s="34">
        <v>4325744</v>
      </c>
      <c r="S20" s="34">
        <v>4468133</v>
      </c>
      <c r="T20" s="34">
        <v>4725994</v>
      </c>
      <c r="U20" s="34">
        <v>5015207</v>
      </c>
      <c r="V20" s="34">
        <v>5048856</v>
      </c>
      <c r="W20" s="34">
        <v>5105527</v>
      </c>
      <c r="X20" s="34">
        <v>5157061</v>
      </c>
      <c r="Y20" s="34">
        <v>5228543</v>
      </c>
      <c r="Z20" s="34">
        <v>5215174</v>
      </c>
      <c r="AA20" s="34">
        <v>5239732</v>
      </c>
      <c r="AB20" s="34">
        <v>5287309</v>
      </c>
      <c r="AC20" s="34">
        <v>5139848</v>
      </c>
      <c r="AD20" s="34">
        <v>5175422</v>
      </c>
      <c r="AE20" s="34">
        <v>5489120</v>
      </c>
      <c r="AF20" s="34">
        <v>5733158</v>
      </c>
      <c r="AG20" s="34">
        <v>5814177</v>
      </c>
      <c r="AH20" s="34">
        <v>5872710</v>
      </c>
      <c r="AI20" s="34">
        <v>5812296</v>
      </c>
      <c r="AJ20" s="34">
        <v>5889229</v>
      </c>
      <c r="AK20" s="34">
        <v>5915672</v>
      </c>
      <c r="AL20" s="34">
        <v>5951794</v>
      </c>
      <c r="AM20" s="34">
        <v>6226339</v>
      </c>
      <c r="AN20" s="34">
        <v>6247887</v>
      </c>
      <c r="AO20" s="34">
        <v>6231866</v>
      </c>
      <c r="AP20" s="34">
        <v>5976465</v>
      </c>
      <c r="AQ20" s="34">
        <v>5944074</v>
      </c>
      <c r="AR20" s="34">
        <v>5932402</v>
      </c>
      <c r="AS20" s="34">
        <v>6091674</v>
      </c>
      <c r="AT20" s="34">
        <v>6380502</v>
      </c>
      <c r="AU20" s="34">
        <v>6230945</v>
      </c>
      <c r="AV20" s="34">
        <v>6247583</v>
      </c>
      <c r="AW20" s="34">
        <v>6235884</v>
      </c>
      <c r="AX20" s="34">
        <v>6262763</v>
      </c>
      <c r="AY20" s="34">
        <v>6307824</v>
      </c>
      <c r="AZ20" s="34">
        <v>6319266</v>
      </c>
      <c r="BA20" s="34">
        <v>6320667</v>
      </c>
      <c r="BB20" s="34">
        <v>6584640</v>
      </c>
      <c r="BC20" s="34">
        <v>6610757</v>
      </c>
      <c r="BD20" s="34">
        <v>6604748</v>
      </c>
      <c r="BE20" s="34">
        <v>6820096</v>
      </c>
      <c r="BF20" s="34">
        <v>6842186</v>
      </c>
      <c r="BG20" s="34">
        <v>6893004</v>
      </c>
      <c r="BH20" s="34">
        <v>6936007</v>
      </c>
      <c r="BI20" s="34">
        <v>6979366</v>
      </c>
      <c r="BJ20" s="34">
        <v>6985962</v>
      </c>
      <c r="BK20" s="34">
        <v>7026725</v>
      </c>
      <c r="BL20" s="34">
        <v>7031239</v>
      </c>
      <c r="BM20" s="34">
        <v>7036839</v>
      </c>
      <c r="BN20" s="34">
        <v>7137437</v>
      </c>
      <c r="BO20" s="34">
        <v>7137437</v>
      </c>
      <c r="BP20" s="34">
        <v>7231475</v>
      </c>
      <c r="BQ20" s="34">
        <v>7293908</v>
      </c>
      <c r="BR20" s="34">
        <v>7334137</v>
      </c>
      <c r="BS20" s="34">
        <v>7350788</v>
      </c>
      <c r="BT20" s="34">
        <v>7545154</v>
      </c>
      <c r="BU20" s="34">
        <v>7766438</v>
      </c>
      <c r="BV20" s="34">
        <v>7797742</v>
      </c>
      <c r="BW20" s="34">
        <v>7609711</v>
      </c>
      <c r="BX20" s="34">
        <v>7485161</v>
      </c>
      <c r="BY20" s="34">
        <v>7807989</v>
      </c>
      <c r="BZ20" s="34">
        <v>7877110</v>
      </c>
      <c r="CA20" s="34">
        <v>7927663</v>
      </c>
      <c r="CB20" s="34">
        <v>7933764</v>
      </c>
      <c r="CC20" s="34">
        <v>7985483</v>
      </c>
      <c r="CD20" s="34">
        <v>8046800</v>
      </c>
      <c r="CE20" s="34">
        <v>8103189</v>
      </c>
      <c r="CF20" s="34">
        <v>8136038</v>
      </c>
      <c r="CG20" s="34">
        <v>8550647</v>
      </c>
      <c r="CH20" s="34">
        <v>8742465</v>
      </c>
      <c r="CI20" s="34">
        <v>8800171</v>
      </c>
      <c r="CJ20" s="34">
        <v>8861343</v>
      </c>
      <c r="CK20" s="95">
        <v>8875444</v>
      </c>
      <c r="CL20" s="95">
        <v>8903507</v>
      </c>
      <c r="CM20" s="95">
        <v>8903908</v>
      </c>
      <c r="CN20" s="95">
        <v>8934395</v>
      </c>
      <c r="CO20" s="95">
        <v>8968552</v>
      </c>
      <c r="CP20" s="95">
        <v>8992099</v>
      </c>
      <c r="CQ20" s="95">
        <v>9028107</v>
      </c>
      <c r="CR20" s="95">
        <v>9069409</v>
      </c>
      <c r="CS20" s="95">
        <v>9097182</v>
      </c>
      <c r="CT20" s="95">
        <v>9113761</v>
      </c>
      <c r="CU20" s="95">
        <v>9181544</v>
      </c>
      <c r="CV20" s="97">
        <v>9196404</v>
      </c>
      <c r="CW20" s="97">
        <v>9230537</v>
      </c>
      <c r="CX20" s="97">
        <v>9356551</v>
      </c>
      <c r="CY20" s="97">
        <v>9400458</v>
      </c>
      <c r="CZ20" s="97">
        <v>9473719</v>
      </c>
      <c r="DA20" s="94">
        <v>9556355</v>
      </c>
      <c r="DB20" s="94">
        <v>9500204</v>
      </c>
      <c r="DC20" s="94">
        <v>9564508</v>
      </c>
      <c r="DD20" s="94">
        <v>9621903</v>
      </c>
      <c r="DE20" s="94">
        <v>9686505</v>
      </c>
      <c r="DF20" s="94">
        <v>9782567</v>
      </c>
      <c r="DG20" s="94">
        <v>9880226</v>
      </c>
      <c r="DH20" s="94">
        <v>10056472</v>
      </c>
      <c r="DI20" s="94">
        <v>10098607</v>
      </c>
      <c r="DJ20" s="94">
        <v>10126423</v>
      </c>
      <c r="DK20" s="94">
        <v>10173702</v>
      </c>
      <c r="DL20" s="94">
        <v>10248603</v>
      </c>
      <c r="DM20" s="94">
        <v>10337466</v>
      </c>
      <c r="DN20" s="115">
        <v>10414950</v>
      </c>
      <c r="DO20" s="94">
        <v>10503130</v>
      </c>
      <c r="DP20" s="94">
        <v>10592811</v>
      </c>
      <c r="DQ20" s="94">
        <v>10666309</v>
      </c>
      <c r="DR20" s="94">
        <v>10741448</v>
      </c>
      <c r="DS20" s="94">
        <v>10792213</v>
      </c>
      <c r="DT20" s="119">
        <f t="shared" ref="DT20:DT21" si="10">DS20/DR20-1</f>
        <v>4.7260853471524644E-3</v>
      </c>
      <c r="DU20" s="103">
        <f>IFERROR(DT45,"N/D")</f>
        <v>7.5842257623317533E-3</v>
      </c>
      <c r="DV20" s="119">
        <f t="shared" ref="DV20:DV21" si="11">DS20/DG20-1</f>
        <v>9.2304265104867111E-2</v>
      </c>
      <c r="DW20" s="103">
        <f>IFERROR(DT55,"N/D")</f>
        <v>9.0624999876222967E-2</v>
      </c>
    </row>
    <row r="21" spans="1:127" s="20" customFormat="1" ht="15" customHeight="1" x14ac:dyDescent="0.3">
      <c r="B21" s="135" t="s">
        <v>3</v>
      </c>
      <c r="C21" s="136"/>
      <c r="D21" s="34">
        <f t="shared" ref="D21:BO21" si="12">+D19-D20</f>
        <v>14248</v>
      </c>
      <c r="E21" s="34">
        <f t="shared" si="12"/>
        <v>14621</v>
      </c>
      <c r="F21" s="34">
        <f t="shared" si="12"/>
        <v>14904</v>
      </c>
      <c r="G21" s="34">
        <f t="shared" si="12"/>
        <v>15246</v>
      </c>
      <c r="H21" s="34">
        <f t="shared" si="12"/>
        <v>15649</v>
      </c>
      <c r="I21" s="34">
        <f t="shared" si="12"/>
        <v>15958</v>
      </c>
      <c r="J21" s="34">
        <f t="shared" si="12"/>
        <v>16182</v>
      </c>
      <c r="K21" s="34">
        <f t="shared" si="12"/>
        <v>16681</v>
      </c>
      <c r="L21" s="34">
        <f t="shared" si="12"/>
        <v>16895</v>
      </c>
      <c r="M21" s="34">
        <f t="shared" si="12"/>
        <v>17116</v>
      </c>
      <c r="N21" s="34">
        <f t="shared" si="12"/>
        <v>17427</v>
      </c>
      <c r="O21" s="34">
        <f t="shared" si="12"/>
        <v>17925</v>
      </c>
      <c r="P21" s="34">
        <f t="shared" si="12"/>
        <v>18246</v>
      </c>
      <c r="Q21" s="34">
        <f t="shared" si="12"/>
        <v>91725</v>
      </c>
      <c r="R21" s="34">
        <f t="shared" si="12"/>
        <v>96260</v>
      </c>
      <c r="S21" s="34">
        <f t="shared" si="12"/>
        <v>107969</v>
      </c>
      <c r="T21" s="34">
        <f t="shared" si="12"/>
        <v>159881</v>
      </c>
      <c r="U21" s="34">
        <f t="shared" si="12"/>
        <v>178267</v>
      </c>
      <c r="V21" s="34">
        <f t="shared" si="12"/>
        <v>182048</v>
      </c>
      <c r="W21" s="34">
        <f t="shared" si="12"/>
        <v>185604</v>
      </c>
      <c r="X21" s="34">
        <f t="shared" si="12"/>
        <v>185779</v>
      </c>
      <c r="Y21" s="34">
        <f t="shared" si="12"/>
        <v>188568</v>
      </c>
      <c r="Z21" s="34">
        <f t="shared" si="12"/>
        <v>186956</v>
      </c>
      <c r="AA21" s="34">
        <f t="shared" si="12"/>
        <v>192405</v>
      </c>
      <c r="AB21" s="34">
        <f t="shared" si="12"/>
        <v>160416</v>
      </c>
      <c r="AC21" s="34">
        <f t="shared" si="12"/>
        <v>157586</v>
      </c>
      <c r="AD21" s="34">
        <f t="shared" si="12"/>
        <v>158449</v>
      </c>
      <c r="AE21" s="34">
        <f t="shared" si="12"/>
        <v>168753</v>
      </c>
      <c r="AF21" s="34">
        <f t="shared" si="12"/>
        <v>176687</v>
      </c>
      <c r="AG21" s="34">
        <f t="shared" si="12"/>
        <v>181048</v>
      </c>
      <c r="AH21" s="34">
        <f t="shared" si="12"/>
        <v>180954</v>
      </c>
      <c r="AI21" s="34">
        <f t="shared" si="12"/>
        <v>176533</v>
      </c>
      <c r="AJ21" s="34">
        <f t="shared" si="12"/>
        <v>176140</v>
      </c>
      <c r="AK21" s="34">
        <f t="shared" si="12"/>
        <v>176450</v>
      </c>
      <c r="AL21" s="34">
        <f t="shared" si="12"/>
        <v>176014</v>
      </c>
      <c r="AM21" s="34">
        <f t="shared" si="12"/>
        <v>226584</v>
      </c>
      <c r="AN21" s="34">
        <f t="shared" si="12"/>
        <v>225935</v>
      </c>
      <c r="AO21" s="34">
        <f t="shared" si="12"/>
        <v>228326</v>
      </c>
      <c r="AP21" s="34">
        <f t="shared" si="12"/>
        <v>223154</v>
      </c>
      <c r="AQ21" s="34">
        <f t="shared" si="12"/>
        <v>223211</v>
      </c>
      <c r="AR21" s="34">
        <f t="shared" si="12"/>
        <v>215917</v>
      </c>
      <c r="AS21" s="34">
        <f t="shared" si="12"/>
        <v>224405</v>
      </c>
      <c r="AT21" s="34">
        <f t="shared" si="12"/>
        <v>228904</v>
      </c>
      <c r="AU21" s="34">
        <f t="shared" si="12"/>
        <v>229155</v>
      </c>
      <c r="AV21" s="34">
        <f t="shared" si="12"/>
        <v>229875</v>
      </c>
      <c r="AW21" s="34">
        <f t="shared" si="12"/>
        <v>228551</v>
      </c>
      <c r="AX21" s="34">
        <f t="shared" si="12"/>
        <v>236258</v>
      </c>
      <c r="AY21" s="34">
        <f t="shared" si="12"/>
        <v>241871</v>
      </c>
      <c r="AZ21" s="34">
        <f t="shared" si="12"/>
        <v>242769</v>
      </c>
      <c r="BA21" s="34">
        <f t="shared" si="12"/>
        <v>242873</v>
      </c>
      <c r="BB21" s="34">
        <f t="shared" si="12"/>
        <v>109937</v>
      </c>
      <c r="BC21" s="34">
        <f t="shared" si="12"/>
        <v>108898</v>
      </c>
      <c r="BD21" s="34">
        <f t="shared" si="12"/>
        <v>109170</v>
      </c>
      <c r="BE21" s="34">
        <f t="shared" si="12"/>
        <v>114934</v>
      </c>
      <c r="BF21" s="34">
        <f t="shared" si="12"/>
        <v>115457</v>
      </c>
      <c r="BG21" s="34">
        <f t="shared" si="12"/>
        <v>115353</v>
      </c>
      <c r="BH21" s="34">
        <f t="shared" si="12"/>
        <v>116199</v>
      </c>
      <c r="BI21" s="34">
        <f t="shared" si="12"/>
        <v>117728</v>
      </c>
      <c r="BJ21" s="34">
        <f t="shared" si="12"/>
        <v>118803</v>
      </c>
      <c r="BK21" s="34">
        <f t="shared" si="12"/>
        <v>121352</v>
      </c>
      <c r="BL21" s="34">
        <f t="shared" si="12"/>
        <v>121438</v>
      </c>
      <c r="BM21" s="34">
        <f t="shared" si="12"/>
        <v>123209</v>
      </c>
      <c r="BN21" s="34">
        <f t="shared" si="12"/>
        <v>126292</v>
      </c>
      <c r="BO21" s="34">
        <f t="shared" si="12"/>
        <v>126292</v>
      </c>
      <c r="BP21" s="34">
        <f t="shared" ref="BP21:BX21" si="13">+BP19-BP20</f>
        <v>123913</v>
      </c>
      <c r="BQ21" s="34">
        <f t="shared" si="13"/>
        <v>125107</v>
      </c>
      <c r="BR21" s="34">
        <f t="shared" si="13"/>
        <v>125683</v>
      </c>
      <c r="BS21" s="34">
        <f t="shared" si="13"/>
        <v>125793</v>
      </c>
      <c r="BT21" s="34">
        <f t="shared" si="13"/>
        <v>135718</v>
      </c>
      <c r="BU21" s="34">
        <f t="shared" si="13"/>
        <v>148244</v>
      </c>
      <c r="BV21" s="34">
        <f t="shared" si="13"/>
        <v>149558</v>
      </c>
      <c r="BW21" s="34">
        <f t="shared" si="13"/>
        <v>142882</v>
      </c>
      <c r="BX21" s="34">
        <f t="shared" si="13"/>
        <v>127702</v>
      </c>
      <c r="BY21" s="34">
        <v>149309</v>
      </c>
      <c r="BZ21" s="34">
        <v>152593</v>
      </c>
      <c r="CA21" s="34">
        <v>154013</v>
      </c>
      <c r="CB21" s="34">
        <v>154508</v>
      </c>
      <c r="CC21" s="34">
        <v>155869</v>
      </c>
      <c r="CD21" s="34">
        <v>155108</v>
      </c>
      <c r="CE21" s="34">
        <v>156592</v>
      </c>
      <c r="CF21" s="34">
        <v>157186</v>
      </c>
      <c r="CG21" s="34">
        <v>156717</v>
      </c>
      <c r="CH21" s="34">
        <v>158070</v>
      </c>
      <c r="CI21" s="34">
        <v>158721</v>
      </c>
      <c r="CJ21" s="34">
        <v>159705</v>
      </c>
      <c r="CK21" s="95">
        <v>160515</v>
      </c>
      <c r="CL21" s="96">
        <v>159998</v>
      </c>
      <c r="CM21" s="96">
        <v>159761</v>
      </c>
      <c r="CN21" s="96">
        <v>160411</v>
      </c>
      <c r="CO21" s="96">
        <v>156613</v>
      </c>
      <c r="CP21" s="96">
        <v>156330</v>
      </c>
      <c r="CQ21" s="96">
        <v>156637</v>
      </c>
      <c r="CR21" s="96">
        <v>158355</v>
      </c>
      <c r="CS21" s="96">
        <v>159951</v>
      </c>
      <c r="CT21" s="96">
        <v>160770</v>
      </c>
      <c r="CU21" s="96">
        <v>163438</v>
      </c>
      <c r="CV21" s="97">
        <v>165943</v>
      </c>
      <c r="CW21" s="97">
        <v>166658</v>
      </c>
      <c r="CX21" s="97">
        <v>167984</v>
      </c>
      <c r="CY21" s="97">
        <v>169821</v>
      </c>
      <c r="CZ21" s="97">
        <v>172544</v>
      </c>
      <c r="DA21" s="94">
        <v>170344</v>
      </c>
      <c r="DB21" s="94">
        <v>169389</v>
      </c>
      <c r="DC21" s="94">
        <v>171163</v>
      </c>
      <c r="DD21" s="94">
        <v>173379</v>
      </c>
      <c r="DE21" s="94">
        <v>175371</v>
      </c>
      <c r="DF21" s="94">
        <v>177510</v>
      </c>
      <c r="DG21" s="94">
        <v>181163</v>
      </c>
      <c r="DH21" s="94">
        <v>183320</v>
      </c>
      <c r="DI21" s="94">
        <v>185491</v>
      </c>
      <c r="DJ21" s="94">
        <v>187384</v>
      </c>
      <c r="DK21" s="94">
        <v>190621</v>
      </c>
      <c r="DL21" s="94">
        <v>193460</v>
      </c>
      <c r="DM21" s="94">
        <v>189893</v>
      </c>
      <c r="DN21" s="115">
        <v>191929</v>
      </c>
      <c r="DO21" s="94">
        <v>194258</v>
      </c>
      <c r="DP21" s="94">
        <v>195953</v>
      </c>
      <c r="DQ21" s="94">
        <v>197176</v>
      </c>
      <c r="DR21" s="94">
        <v>197773</v>
      </c>
      <c r="DS21" s="94">
        <v>198959</v>
      </c>
      <c r="DT21" s="119">
        <f t="shared" si="10"/>
        <v>5.9967740793738233E-3</v>
      </c>
      <c r="DU21" s="103">
        <f>IFERROR(DT46,"N/D")</f>
        <v>8.8133670221184346E-3</v>
      </c>
      <c r="DV21" s="119">
        <f t="shared" si="11"/>
        <v>9.8231978936096143E-2</v>
      </c>
      <c r="DW21" s="103">
        <f>IFERROR(DT56,"N/D")</f>
        <v>0.11803017086888778</v>
      </c>
    </row>
    <row r="22" spans="1:127"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80"/>
      <c r="DU22" s="80"/>
    </row>
    <row r="23" spans="1:127" s="54" customFormat="1" ht="15" customHeight="1" x14ac:dyDescent="0.3">
      <c r="A23" s="11"/>
      <c r="B23" s="4" t="s">
        <v>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row>
    <row r="24" spans="1:127" s="54" customFormat="1" ht="15" customHeight="1" x14ac:dyDescent="0.3">
      <c r="A24" s="11"/>
      <c r="B24" s="5" t="s">
        <v>52</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row>
    <row r="25" spans="1:127" s="38" customFormat="1" ht="15" customHeight="1" x14ac:dyDescent="0.3">
      <c r="A25" s="11"/>
      <c r="B25" s="7" t="s">
        <v>47</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40"/>
      <c r="DU25" s="40"/>
    </row>
    <row r="26" spans="1:127" s="38" customFormat="1" ht="15" customHeight="1" x14ac:dyDescent="0.3">
      <c r="A26" s="11"/>
      <c r="B26" s="8" t="s">
        <v>48</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40"/>
      <c r="DU26" s="40"/>
    </row>
    <row r="27" spans="1:127" s="38" customFormat="1" ht="15" customHeight="1" x14ac:dyDescent="0.3">
      <c r="A27" s="1"/>
      <c r="B27" s="8" t="s">
        <v>38</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39"/>
      <c r="DU27" s="39"/>
    </row>
    <row r="28" spans="1:127" s="38" customFormat="1" ht="15" customHeight="1" x14ac:dyDescent="0.3">
      <c r="A28" s="1"/>
      <c r="B28" s="8" t="s">
        <v>49</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row>
    <row r="29" spans="1:127" s="38" customFormat="1" ht="15" customHeight="1" x14ac:dyDescent="0.3">
      <c r="A29" s="1"/>
      <c r="B29" s="8" t="s">
        <v>50</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row>
    <row r="30" spans="1:127" s="38" customFormat="1" ht="15" customHeight="1" x14ac:dyDescent="0.3">
      <c r="A30" s="1"/>
      <c r="B30" s="5" t="s">
        <v>60</v>
      </c>
      <c r="D30" s="63"/>
      <c r="E30" s="63"/>
      <c r="F30" s="63"/>
      <c r="G30" s="63"/>
      <c r="H30" s="63"/>
      <c r="I30" s="63"/>
      <c r="J30" s="63"/>
      <c r="K30" s="63"/>
      <c r="L30" s="63"/>
      <c r="M30" s="63"/>
      <c r="N30" s="63"/>
      <c r="O30" s="63"/>
    </row>
    <row r="31" spans="1:127" s="38" customFormat="1" ht="15" customHeight="1" x14ac:dyDescent="0.3">
      <c r="A31" s="1"/>
      <c r="B31" s="8" t="s">
        <v>54</v>
      </c>
      <c r="D31" s="63"/>
      <c r="E31" s="63"/>
      <c r="F31" s="63"/>
      <c r="G31" s="63"/>
      <c r="H31" s="63"/>
      <c r="I31" s="63"/>
      <c r="J31" s="63"/>
      <c r="K31" s="63"/>
      <c r="L31" s="63"/>
      <c r="M31" s="63"/>
      <c r="N31" s="63"/>
      <c r="O31" s="63"/>
    </row>
    <row r="32" spans="1:127" s="38" customFormat="1" ht="15" customHeight="1" x14ac:dyDescent="0.3">
      <c r="A32" s="1"/>
      <c r="B32" s="8" t="s">
        <v>56</v>
      </c>
      <c r="D32" s="63"/>
      <c r="E32" s="63"/>
      <c r="F32" s="63"/>
      <c r="G32" s="63"/>
      <c r="H32" s="63"/>
      <c r="I32" s="63"/>
      <c r="J32" s="63"/>
      <c r="K32" s="63"/>
      <c r="L32" s="63"/>
      <c r="M32" s="63"/>
      <c r="N32" s="63"/>
      <c r="O32" s="63"/>
    </row>
    <row r="33" spans="1:127" s="38" customFormat="1" ht="30.6" customHeight="1" x14ac:dyDescent="0.3">
      <c r="A33" s="1"/>
      <c r="B33" s="149" t="s">
        <v>61</v>
      </c>
      <c r="C33" s="149"/>
      <c r="D33" s="149"/>
      <c r="E33" s="149"/>
      <c r="F33" s="149"/>
      <c r="G33" s="149"/>
      <c r="H33" s="149"/>
      <c r="I33" s="149"/>
      <c r="J33" s="149"/>
      <c r="K33" s="149"/>
      <c r="L33" s="149"/>
      <c r="M33" s="149"/>
      <c r="N33" s="149"/>
      <c r="O33" s="149"/>
      <c r="P33" s="149"/>
      <c r="Q33" s="149"/>
    </row>
    <row r="34" spans="1:127" s="83" customFormat="1" ht="56.4" customHeight="1" x14ac:dyDescent="0.3">
      <c r="A34" s="84"/>
      <c r="B34" s="150" t="s">
        <v>77</v>
      </c>
      <c r="C34" s="150"/>
      <c r="D34" s="150"/>
      <c r="E34" s="150"/>
      <c r="F34" s="150"/>
      <c r="G34" s="150"/>
      <c r="H34" s="150"/>
      <c r="I34" s="150"/>
      <c r="J34" s="150"/>
      <c r="K34" s="150"/>
      <c r="L34" s="150"/>
      <c r="M34" s="150"/>
      <c r="N34" s="150"/>
      <c r="O34" s="150"/>
      <c r="P34" s="150"/>
      <c r="Q34" s="150"/>
    </row>
    <row r="35" spans="1:127" s="38" customFormat="1" ht="15" customHeight="1" x14ac:dyDescent="0.3">
      <c r="A35" s="1"/>
      <c r="B35" s="5" t="s">
        <v>43</v>
      </c>
      <c r="C35" s="98"/>
      <c r="D35" s="63"/>
      <c r="E35" s="63"/>
      <c r="F35" s="63"/>
      <c r="G35" s="63"/>
      <c r="H35" s="63"/>
      <c r="I35" s="63"/>
      <c r="J35" s="63"/>
      <c r="K35" s="63"/>
      <c r="L35" s="63"/>
      <c r="M35" s="63"/>
      <c r="N35" s="63"/>
      <c r="O35" s="63"/>
      <c r="DW35" s="54"/>
    </row>
    <row r="36" spans="1:127" s="38" customFormat="1" ht="15" customHeight="1" x14ac:dyDescent="0.3">
      <c r="A36" s="1"/>
      <c r="B36" s="56"/>
      <c r="C36" s="99"/>
      <c r="D36" s="63"/>
      <c r="E36" s="63"/>
      <c r="F36" s="63"/>
      <c r="G36" s="63"/>
      <c r="H36" s="63"/>
      <c r="I36" s="63"/>
      <c r="J36" s="63"/>
      <c r="K36" s="63"/>
      <c r="L36" s="63"/>
      <c r="M36" s="63"/>
      <c r="N36" s="63"/>
      <c r="O36" s="63"/>
    </row>
    <row r="37" spans="1:127" s="38" customFormat="1" ht="15" customHeight="1" x14ac:dyDescent="0.3">
      <c r="A37" s="1"/>
      <c r="B37" s="5"/>
      <c r="C37" s="100"/>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5"/>
    </row>
    <row r="38" spans="1:127" s="38" customFormat="1" ht="15" customHeight="1" x14ac:dyDescent="0.3">
      <c r="A38" s="1"/>
      <c r="B38" s="5"/>
      <c r="C38" s="100"/>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5"/>
    </row>
    <row r="39" spans="1:127" s="56" customFormat="1" ht="15" customHeight="1" x14ac:dyDescent="0.3">
      <c r="B39" s="127" t="str">
        <f>+B11</f>
        <v>Valor del Patrimonio Neto del Fideicomiso (1,7,8)</v>
      </c>
      <c r="C39" s="127"/>
      <c r="D39" s="68"/>
      <c r="E39" s="68"/>
      <c r="F39" s="68"/>
      <c r="G39" s="68"/>
      <c r="H39" s="68"/>
      <c r="I39" s="68"/>
      <c r="J39" s="68"/>
      <c r="K39" s="68"/>
      <c r="L39" s="68"/>
      <c r="M39" s="68"/>
      <c r="N39" s="68"/>
      <c r="O39" s="68"/>
      <c r="P39" s="69">
        <f t="shared" ref="P39:CB39" si="14">+P11/O11</f>
        <v>1.0319011438753212</v>
      </c>
      <c r="Q39" s="69">
        <f t="shared" si="14"/>
        <v>1.033057694658456</v>
      </c>
      <c r="R39" s="69">
        <f t="shared" si="14"/>
        <v>1.0315496974817746</v>
      </c>
      <c r="S39" s="69">
        <f t="shared" si="14"/>
        <v>0.89327534086086224</v>
      </c>
      <c r="T39" s="69">
        <f t="shared" si="14"/>
        <v>1.0532217755620161</v>
      </c>
      <c r="U39" s="69">
        <f t="shared" si="14"/>
        <v>1.001037143267179</v>
      </c>
      <c r="V39" s="69">
        <f t="shared" si="14"/>
        <v>1.1979351032113126</v>
      </c>
      <c r="W39" s="69">
        <f t="shared" si="14"/>
        <v>1.0011782069872655</v>
      </c>
      <c r="X39" s="69">
        <f t="shared" si="14"/>
        <v>1.0288141014626146</v>
      </c>
      <c r="Y39" s="69">
        <f t="shared" si="14"/>
        <v>1.0559955120188003</v>
      </c>
      <c r="Z39" s="69">
        <f t="shared" si="14"/>
        <v>1.0002304257304899</v>
      </c>
      <c r="AA39" s="69">
        <f t="shared" si="14"/>
        <v>1.0280776129248852</v>
      </c>
      <c r="AB39" s="69">
        <f t="shared" si="14"/>
        <v>1.0516664055753882</v>
      </c>
      <c r="AC39" s="70">
        <f t="shared" si="14"/>
        <v>1.0277450112002868</v>
      </c>
      <c r="AD39" s="70">
        <f t="shared" si="14"/>
        <v>1.0263762313883231</v>
      </c>
      <c r="AE39" s="70">
        <f t="shared" si="14"/>
        <v>1.0248502004510864</v>
      </c>
      <c r="AF39" s="70">
        <f t="shared" si="14"/>
        <v>1.0253460658266991</v>
      </c>
      <c r="AG39" s="70">
        <f t="shared" si="14"/>
        <v>1.023846698959354</v>
      </c>
      <c r="AH39" s="70">
        <f t="shared" si="14"/>
        <v>1.0243568984737994</v>
      </c>
      <c r="AI39" s="70">
        <f t="shared" si="14"/>
        <v>1.0253704219118751</v>
      </c>
      <c r="AJ39" s="70">
        <f t="shared" si="14"/>
        <v>1.0223505821858903</v>
      </c>
      <c r="AK39" s="70">
        <f t="shared" si="14"/>
        <v>1.0227368885320023</v>
      </c>
      <c r="AL39" s="70">
        <f t="shared" si="14"/>
        <v>1.0221832482899853</v>
      </c>
      <c r="AM39" s="70">
        <f t="shared" si="14"/>
        <v>1.0216192805107402</v>
      </c>
      <c r="AN39" s="70">
        <f t="shared" si="14"/>
        <v>1.0207728242419951</v>
      </c>
      <c r="AO39" s="70">
        <f t="shared" si="14"/>
        <v>1.0202663966179297</v>
      </c>
      <c r="AP39" s="70">
        <f t="shared" si="14"/>
        <v>1.018823054966532</v>
      </c>
      <c r="AQ39" s="70">
        <f t="shared" si="14"/>
        <v>1.0200373370151554</v>
      </c>
      <c r="AR39" s="70">
        <f t="shared" si="14"/>
        <v>1.0204653835922317</v>
      </c>
      <c r="AS39" s="70">
        <f t="shared" si="14"/>
        <v>1.0199700036596564</v>
      </c>
      <c r="AT39" s="70">
        <f t="shared" si="14"/>
        <v>1.0198798690804962</v>
      </c>
      <c r="AU39" s="70">
        <f t="shared" si="14"/>
        <v>1.1935506452303819</v>
      </c>
      <c r="AV39" s="70">
        <f t="shared" si="14"/>
        <v>1.0229429606745315</v>
      </c>
      <c r="AW39" s="70">
        <f t="shared" si="14"/>
        <v>1.0206188823496396</v>
      </c>
      <c r="AX39" s="70">
        <f t="shared" si="14"/>
        <v>1.0170123605033476</v>
      </c>
      <c r="AY39" s="70">
        <f t="shared" si="14"/>
        <v>1.0173846191867051</v>
      </c>
      <c r="AZ39" s="70">
        <f t="shared" si="14"/>
        <v>0.98308012013158774</v>
      </c>
      <c r="BA39" s="70">
        <f t="shared" si="14"/>
        <v>1.0118655124274674</v>
      </c>
      <c r="BB39" s="70">
        <f t="shared" si="14"/>
        <v>1.1966574982069509</v>
      </c>
      <c r="BC39" s="70">
        <f t="shared" si="14"/>
        <v>1.0111971812421656</v>
      </c>
      <c r="BD39" s="70">
        <f t="shared" si="14"/>
        <v>1.0092507458498112</v>
      </c>
      <c r="BE39" s="70">
        <f t="shared" si="14"/>
        <v>1.0095212352136929</v>
      </c>
      <c r="BF39" s="70">
        <f t="shared" si="14"/>
        <v>1.011702702064482</v>
      </c>
      <c r="BG39" s="70">
        <f t="shared" si="14"/>
        <v>1.0097407102711105</v>
      </c>
      <c r="BH39" s="70">
        <f t="shared" si="14"/>
        <v>1.0135336623793041</v>
      </c>
      <c r="BI39" s="70">
        <f t="shared" si="14"/>
        <v>1.0131884388265719</v>
      </c>
      <c r="BJ39" s="70">
        <f t="shared" si="14"/>
        <v>1.0128184207772979</v>
      </c>
      <c r="BK39" s="70">
        <f t="shared" si="14"/>
        <v>1.0127930845364523</v>
      </c>
      <c r="BL39" s="70">
        <f t="shared" si="14"/>
        <v>1.0169449613111079</v>
      </c>
      <c r="BM39" s="70">
        <f t="shared" si="14"/>
        <v>1</v>
      </c>
      <c r="BN39" s="70">
        <f t="shared" si="14"/>
        <v>1.0329379774132283</v>
      </c>
      <c r="BO39" s="70">
        <f t="shared" si="14"/>
        <v>1.0163435733756065</v>
      </c>
      <c r="BP39" s="70">
        <f t="shared" si="14"/>
        <v>1.0166630134493653</v>
      </c>
      <c r="BQ39" s="70">
        <f t="shared" si="14"/>
        <v>1.0148643611067794</v>
      </c>
      <c r="BR39" s="70">
        <f t="shared" si="14"/>
        <v>1.0169379341560032</v>
      </c>
      <c r="BS39" s="70">
        <f t="shared" si="14"/>
        <v>1.0160932858038134</v>
      </c>
      <c r="BT39" s="70">
        <f t="shared" si="14"/>
        <v>1.0161942109685034</v>
      </c>
      <c r="BU39" s="70">
        <f t="shared" si="14"/>
        <v>1.0158175423537028</v>
      </c>
      <c r="BV39" s="70">
        <f t="shared" si="14"/>
        <v>1.0010477323494156</v>
      </c>
      <c r="BW39" s="70">
        <f t="shared" si="14"/>
        <v>1.0016092878208935</v>
      </c>
      <c r="BX39" s="70">
        <f t="shared" si="14"/>
        <v>1.0013549552462766</v>
      </c>
      <c r="BY39" s="70">
        <f t="shared" si="14"/>
        <v>1.0159321177660638</v>
      </c>
      <c r="BZ39" s="70">
        <f t="shared" si="14"/>
        <v>1.0318262627451509</v>
      </c>
      <c r="CA39" s="70">
        <f t="shared" si="14"/>
        <v>1.0004012999858698</v>
      </c>
      <c r="CB39" s="70">
        <f t="shared" si="14"/>
        <v>1.0159652704015909</v>
      </c>
      <c r="CC39" s="70">
        <f t="shared" ref="CC39" si="15">+CC11/CB11</f>
        <v>1.0157907888737556</v>
      </c>
      <c r="CD39" s="70">
        <f t="shared" ref="CD39" si="16">+CD11/CC11</f>
        <v>1.0164592818334033</v>
      </c>
      <c r="CE39" s="70">
        <f t="shared" ref="CE39" si="17">+CE11/CD11</f>
        <v>1.0161518190842267</v>
      </c>
      <c r="CF39" s="70">
        <f t="shared" ref="CF39:CG39" si="18">+CF11/CE11</f>
        <v>1.0154814654307824</v>
      </c>
      <c r="CG39" s="70">
        <f t="shared" si="18"/>
        <v>1.0158167733542116</v>
      </c>
      <c r="CH39" s="70">
        <f t="shared" ref="CH39:CM39" si="19">+CH11/CG11</f>
        <v>1.0163743109799459</v>
      </c>
      <c r="CI39" s="70">
        <f t="shared" si="19"/>
        <v>1.0408403078592856</v>
      </c>
      <c r="CJ39" s="70">
        <f t="shared" si="19"/>
        <v>1.0004378915807028</v>
      </c>
      <c r="CK39" s="70">
        <f t="shared" si="19"/>
        <v>1.0152483723874122</v>
      </c>
      <c r="CL39" s="70">
        <f t="shared" si="19"/>
        <v>1.0297450078062111</v>
      </c>
      <c r="CM39" s="70">
        <f t="shared" si="19"/>
        <v>1.0008283862513956</v>
      </c>
      <c r="CN39" s="70">
        <f t="shared" ref="CN39:CU39" si="20">+CN11/CM11</f>
        <v>1</v>
      </c>
      <c r="CO39" s="70">
        <f t="shared" si="20"/>
        <v>1</v>
      </c>
      <c r="CP39" s="70">
        <f t="shared" si="20"/>
        <v>1.0459448120863886</v>
      </c>
      <c r="CQ39" s="70">
        <f t="shared" si="20"/>
        <v>1.025396105310995</v>
      </c>
      <c r="CR39" s="70">
        <f t="shared" si="20"/>
        <v>1.0015553814632991</v>
      </c>
      <c r="CS39" s="70">
        <f t="shared" si="20"/>
        <v>1.0260495245775534</v>
      </c>
      <c r="CT39" s="70">
        <f t="shared" si="20"/>
        <v>1.0157603899495486</v>
      </c>
      <c r="CU39" s="70">
        <f t="shared" si="20"/>
        <v>1.01515877899561</v>
      </c>
      <c r="CV39" s="70">
        <f t="shared" ref="CV39" si="21">+CV11/CU11</f>
        <v>1.0130395464029573</v>
      </c>
      <c r="CW39" s="70">
        <f t="shared" ref="CW39:DM39" si="22">+CW11/CV11</f>
        <v>1</v>
      </c>
      <c r="CX39" s="70">
        <f t="shared" si="22"/>
        <v>1.001001189697087</v>
      </c>
      <c r="CY39" s="70">
        <f t="shared" si="22"/>
        <v>1.0453081202675409</v>
      </c>
      <c r="CZ39" s="70">
        <f t="shared" si="22"/>
        <v>1.0154731197273352</v>
      </c>
      <c r="DA39" s="70">
        <f t="shared" si="22"/>
        <v>1.0273452505909553</v>
      </c>
      <c r="DB39" s="70">
        <f t="shared" si="22"/>
        <v>1.0026303451388903</v>
      </c>
      <c r="DC39" s="70">
        <f t="shared" si="22"/>
        <v>1.0303863524450785</v>
      </c>
      <c r="DD39" s="70">
        <f t="shared" si="22"/>
        <v>1.0144469758935231</v>
      </c>
      <c r="DE39" s="70">
        <f t="shared" si="22"/>
        <v>1.0001333118937541</v>
      </c>
      <c r="DF39" s="70">
        <f t="shared" si="22"/>
        <v>1.0298794015399082</v>
      </c>
      <c r="DG39" s="70">
        <f t="shared" si="22"/>
        <v>1.0325936847209543</v>
      </c>
      <c r="DH39" s="70">
        <f t="shared" si="22"/>
        <v>1.0109732240164429</v>
      </c>
      <c r="DI39" s="70">
        <f t="shared" si="22"/>
        <v>1.0155434952409454</v>
      </c>
      <c r="DJ39" s="70">
        <f t="shared" si="22"/>
        <v>1.0176244143582789</v>
      </c>
      <c r="DK39" s="70">
        <f t="shared" si="22"/>
        <v>1.0138261384553713</v>
      </c>
      <c r="DL39" s="70">
        <f t="shared" si="22"/>
        <v>1.0081445915665079</v>
      </c>
      <c r="DM39" s="70">
        <f t="shared" si="22"/>
        <v>1.0172895581103794</v>
      </c>
      <c r="DN39" s="70">
        <f t="shared" ref="DN39" si="23">+DN11/DM11</f>
        <v>1.0190074534645308</v>
      </c>
      <c r="DO39" s="70">
        <f t="shared" ref="DO39:DS39" si="24">+DO11/DN11</f>
        <v>1.0125076232038861</v>
      </c>
      <c r="DP39" s="70">
        <f t="shared" si="24"/>
        <v>1.0150966483688606</v>
      </c>
      <c r="DQ39" s="70">
        <f t="shared" si="24"/>
        <v>1.0182412067676587</v>
      </c>
      <c r="DR39" s="70">
        <f t="shared" si="24"/>
        <v>1.0151460900272857</v>
      </c>
      <c r="DS39" s="70">
        <f t="shared" si="24"/>
        <v>1.0310406580797826</v>
      </c>
      <c r="DT39" s="71">
        <f>+GEOMEAN(DG39:DS39)-1</f>
        <v>1.7441734141254717E-2</v>
      </c>
      <c r="DU39" s="42"/>
    </row>
    <row r="40" spans="1:127" s="59" customFormat="1" x14ac:dyDescent="0.3">
      <c r="B40" s="127" t="str">
        <f>+B13</f>
        <v>Depósitos asegurados (2,4,5,6)</v>
      </c>
      <c r="C40" s="127"/>
      <c r="D40" s="68"/>
      <c r="E40" s="68"/>
      <c r="F40" s="68"/>
      <c r="G40" s="68"/>
      <c r="H40" s="68"/>
      <c r="I40" s="68"/>
      <c r="J40" s="68"/>
      <c r="K40" s="68"/>
      <c r="L40" s="68"/>
      <c r="M40" s="68"/>
      <c r="N40" s="68"/>
      <c r="O40" s="68"/>
      <c r="P40" s="68">
        <f t="shared" ref="P40:CB40" si="25">+P13/O13</f>
        <v>1.0102764368949559</v>
      </c>
      <c r="Q40" s="68">
        <f t="shared" si="25"/>
        <v>1.355035688983687</v>
      </c>
      <c r="R40" s="68">
        <f t="shared" si="25"/>
        <v>0.99900308001941462</v>
      </c>
      <c r="S40" s="68">
        <f t="shared" si="25"/>
        <v>1.0297256755037099</v>
      </c>
      <c r="T40" s="68">
        <f t="shared" si="25"/>
        <v>1.0172597621556929</v>
      </c>
      <c r="U40" s="68">
        <f t="shared" si="25"/>
        <v>1.0071572837578331</v>
      </c>
      <c r="V40" s="68">
        <f t="shared" si="25"/>
        <v>1.0100255735812802</v>
      </c>
      <c r="W40" s="68">
        <f t="shared" si="25"/>
        <v>1.0126073787485488</v>
      </c>
      <c r="X40" s="68">
        <f t="shared" si="25"/>
        <v>1.0066767037234801</v>
      </c>
      <c r="Y40" s="68">
        <f t="shared" si="25"/>
        <v>1.0135581362145503</v>
      </c>
      <c r="Z40" s="68">
        <f t="shared" si="25"/>
        <v>1.0092873133990845</v>
      </c>
      <c r="AA40" s="68">
        <f t="shared" si="25"/>
        <v>1.0271335754236379</v>
      </c>
      <c r="AB40" s="68">
        <f t="shared" si="25"/>
        <v>1.0025327207794164</v>
      </c>
      <c r="AC40" s="72">
        <f t="shared" si="25"/>
        <v>1.0052918094640757</v>
      </c>
      <c r="AD40" s="72">
        <f t="shared" si="25"/>
        <v>1.0125882087668541</v>
      </c>
      <c r="AE40" s="72">
        <f t="shared" si="25"/>
        <v>1.0071308148690405</v>
      </c>
      <c r="AF40" s="72">
        <f t="shared" si="25"/>
        <v>1.0326553886958476</v>
      </c>
      <c r="AG40" s="72">
        <f t="shared" si="25"/>
        <v>1.0199269499952273</v>
      </c>
      <c r="AH40" s="72">
        <f t="shared" si="25"/>
        <v>1.0010118163488015</v>
      </c>
      <c r="AI40" s="72">
        <f t="shared" si="25"/>
        <v>0.9958591553902052</v>
      </c>
      <c r="AJ40" s="72">
        <f t="shared" si="25"/>
        <v>0.99756057317043834</v>
      </c>
      <c r="AK40" s="72">
        <f t="shared" si="25"/>
        <v>0.99918639764182682</v>
      </c>
      <c r="AL40" s="72">
        <f t="shared" si="25"/>
        <v>0.99272481298336879</v>
      </c>
      <c r="AM40" s="72">
        <f t="shared" si="25"/>
        <v>1.0073288456537366</v>
      </c>
      <c r="AN40" s="72">
        <f t="shared" si="25"/>
        <v>1.0026911010621131</v>
      </c>
      <c r="AO40" s="72">
        <f t="shared" si="25"/>
        <v>1.0132787222423054</v>
      </c>
      <c r="AP40" s="72">
        <f t="shared" si="25"/>
        <v>1.0093299634220545</v>
      </c>
      <c r="AQ40" s="72">
        <f t="shared" si="25"/>
        <v>1.0000620023824991</v>
      </c>
      <c r="AR40" s="72">
        <f t="shared" si="25"/>
        <v>1.0009042370664551</v>
      </c>
      <c r="AS40" s="72">
        <f t="shared" si="25"/>
        <v>1.010771896471502</v>
      </c>
      <c r="AT40" s="72">
        <f t="shared" si="25"/>
        <v>1.1134987330296859</v>
      </c>
      <c r="AU40" s="72">
        <f t="shared" si="25"/>
        <v>1.0544410027508617</v>
      </c>
      <c r="AV40" s="72">
        <f t="shared" si="25"/>
        <v>1.0097139621100586</v>
      </c>
      <c r="AW40" s="72">
        <f t="shared" si="25"/>
        <v>1.0531560073983248</v>
      </c>
      <c r="AX40" s="72">
        <f t="shared" si="25"/>
        <v>1.0081011507874651</v>
      </c>
      <c r="AY40" s="72">
        <f t="shared" si="25"/>
        <v>1.0222553361241906</v>
      </c>
      <c r="AZ40" s="72">
        <f t="shared" si="25"/>
        <v>1.0114562739068436</v>
      </c>
      <c r="BA40" s="72">
        <f t="shared" si="25"/>
        <v>1.0009724996175287</v>
      </c>
      <c r="BB40" s="72">
        <f t="shared" si="25"/>
        <v>1.0297515763482039</v>
      </c>
      <c r="BC40" s="72">
        <f t="shared" si="25"/>
        <v>1.016888199189512</v>
      </c>
      <c r="BD40" s="72">
        <f t="shared" si="25"/>
        <v>1.0066683406158499</v>
      </c>
      <c r="BE40" s="72">
        <f t="shared" si="25"/>
        <v>1.0522624083696326</v>
      </c>
      <c r="BF40" s="72">
        <f t="shared" si="25"/>
        <v>1.0140283154266361</v>
      </c>
      <c r="BG40" s="72">
        <f t="shared" si="25"/>
        <v>1.0075641745008228</v>
      </c>
      <c r="BH40" s="72">
        <f t="shared" si="25"/>
        <v>1.0093991658660348</v>
      </c>
      <c r="BI40" s="72">
        <f t="shared" si="25"/>
        <v>1.0120962882545059</v>
      </c>
      <c r="BJ40" s="72">
        <f t="shared" si="25"/>
        <v>1.0061034457236206</v>
      </c>
      <c r="BK40" s="72">
        <f t="shared" si="25"/>
        <v>1.0220264500512941</v>
      </c>
      <c r="BL40" s="72">
        <f t="shared" si="25"/>
        <v>1.0004285484794304</v>
      </c>
      <c r="BM40" s="72">
        <f t="shared" si="25"/>
        <v>1.0149199081189082</v>
      </c>
      <c r="BN40" s="72">
        <f t="shared" si="25"/>
        <v>1.0230348776678813</v>
      </c>
      <c r="BO40" s="72">
        <f t="shared" si="25"/>
        <v>1</v>
      </c>
      <c r="BP40" s="72">
        <f t="shared" si="25"/>
        <v>1.0344059304220787</v>
      </c>
      <c r="BQ40" s="72">
        <f t="shared" si="25"/>
        <v>1.0117458036995244</v>
      </c>
      <c r="BR40" s="72">
        <f t="shared" si="25"/>
        <v>1.0086801597533437</v>
      </c>
      <c r="BS40" s="72">
        <f t="shared" si="25"/>
        <v>1.0045563469527747</v>
      </c>
      <c r="BT40" s="72">
        <f t="shared" si="25"/>
        <v>1.0073915934897379</v>
      </c>
      <c r="BU40" s="72">
        <f t="shared" si="25"/>
        <v>1.0143781641267571</v>
      </c>
      <c r="BV40" s="72">
        <f t="shared" si="25"/>
        <v>1.0040851745457489</v>
      </c>
      <c r="BW40" s="72">
        <f t="shared" si="25"/>
        <v>1.012552202157829</v>
      </c>
      <c r="BX40" s="72">
        <f t="shared" si="25"/>
        <v>1.0090098593243109</v>
      </c>
      <c r="BY40" s="72">
        <f t="shared" si="25"/>
        <v>1.0101873161891042</v>
      </c>
      <c r="BZ40" s="72">
        <f t="shared" si="25"/>
        <v>1.0069744023531886</v>
      </c>
      <c r="CA40" s="72">
        <f t="shared" si="25"/>
        <v>1.0128872497636139</v>
      </c>
      <c r="CB40" s="72">
        <f t="shared" si="25"/>
        <v>1.0059409562925172</v>
      </c>
      <c r="CC40" s="72">
        <f t="shared" ref="CC40" si="26">+CC13/CB13</f>
        <v>1.0127292155637266</v>
      </c>
      <c r="CD40" s="72">
        <f t="shared" ref="CD40" si="27">+CD13/CC13</f>
        <v>1.0128806954266292</v>
      </c>
      <c r="CE40" s="72">
        <f t="shared" ref="CE40" si="28">+CE13/CD13</f>
        <v>1.0188512955028974</v>
      </c>
      <c r="CF40" s="72">
        <f t="shared" ref="CF40:CU40" si="29">+CF13/CE13</f>
        <v>1.0069786718142781</v>
      </c>
      <c r="CG40" s="72">
        <f t="shared" si="29"/>
        <v>1.0122149276543324</v>
      </c>
      <c r="CH40" s="72">
        <f t="shared" si="29"/>
        <v>1.0127747968969674</v>
      </c>
      <c r="CI40" s="72">
        <f t="shared" si="29"/>
        <v>1.019615824580193</v>
      </c>
      <c r="CJ40" s="72">
        <f t="shared" si="29"/>
        <v>1.0114773900417295</v>
      </c>
      <c r="CK40" s="72">
        <f t="shared" si="29"/>
        <v>1.0091880921998422</v>
      </c>
      <c r="CL40" s="72">
        <f t="shared" si="29"/>
        <v>0.99116984829238364</v>
      </c>
      <c r="CM40" s="72">
        <f t="shared" si="29"/>
        <v>0.99942638643834036</v>
      </c>
      <c r="CN40" s="72">
        <f t="shared" si="29"/>
        <v>0.9972236567645415</v>
      </c>
      <c r="CO40" s="72">
        <f t="shared" si="29"/>
        <v>1.0074898326083592</v>
      </c>
      <c r="CP40" s="72">
        <f t="shared" si="29"/>
        <v>1.0105937550909458</v>
      </c>
      <c r="CQ40" s="72">
        <f t="shared" si="29"/>
        <v>1.0151076712445295</v>
      </c>
      <c r="CR40" s="72">
        <f t="shared" si="29"/>
        <v>1.0172853828202735</v>
      </c>
      <c r="CS40" s="72">
        <f t="shared" si="29"/>
        <v>1.0219732966068542</v>
      </c>
      <c r="CT40" s="72">
        <f t="shared" si="29"/>
        <v>1.013000655390635</v>
      </c>
      <c r="CU40" s="72">
        <f t="shared" si="29"/>
        <v>1.0376016377398245</v>
      </c>
      <c r="CV40" s="72">
        <f t="shared" ref="CV40" si="30">+CV13/CU13</f>
        <v>1.0156004464709851</v>
      </c>
      <c r="CW40" s="72">
        <f t="shared" ref="CW40:DM40" si="31">+CW13/CV13</f>
        <v>1.0123226286099618</v>
      </c>
      <c r="CX40" s="72">
        <f t="shared" si="31"/>
        <v>1.0191330570198287</v>
      </c>
      <c r="CY40" s="72">
        <f t="shared" si="31"/>
        <v>1.0115243385395505</v>
      </c>
      <c r="CZ40" s="72">
        <f t="shared" si="31"/>
        <v>1.0232662751825659</v>
      </c>
      <c r="DA40" s="72">
        <f t="shared" si="31"/>
        <v>1.0178743745012537</v>
      </c>
      <c r="DB40" s="72">
        <f t="shared" si="31"/>
        <v>1.0124545212594638</v>
      </c>
      <c r="DC40" s="72">
        <f t="shared" si="31"/>
        <v>1.0187616096053593</v>
      </c>
      <c r="DD40" s="72">
        <f t="shared" si="31"/>
        <v>1.0167221791222658</v>
      </c>
      <c r="DE40" s="72">
        <f t="shared" si="31"/>
        <v>1.020801417351386</v>
      </c>
      <c r="DF40" s="72">
        <f t="shared" si="31"/>
        <v>1.0128138146583026</v>
      </c>
      <c r="DG40" s="72">
        <f t="shared" si="31"/>
        <v>1.0312147658539899</v>
      </c>
      <c r="DH40" s="72">
        <f t="shared" si="31"/>
        <v>1.0106141473930939</v>
      </c>
      <c r="DI40" s="72">
        <f t="shared" si="31"/>
        <v>1.0171123099975925</v>
      </c>
      <c r="DJ40" s="72">
        <f t="shared" si="31"/>
        <v>1.0197327730513508</v>
      </c>
      <c r="DK40" s="72">
        <f t="shared" si="31"/>
        <v>1.0182516658789487</v>
      </c>
      <c r="DL40" s="72">
        <f t="shared" si="31"/>
        <v>1.0204478174052241</v>
      </c>
      <c r="DM40" s="72">
        <f t="shared" si="31"/>
        <v>1.0159398956753702</v>
      </c>
      <c r="DN40" s="72">
        <f t="shared" ref="DN40" si="32">+DN13/DM13</f>
        <v>1.0090172484276461</v>
      </c>
      <c r="DO40" s="72">
        <f t="shared" ref="DO40:DS40" si="33">+DO13/DN13</f>
        <v>1.0116180409625106</v>
      </c>
      <c r="DP40" s="72">
        <f t="shared" si="33"/>
        <v>1.0064353937614734</v>
      </c>
      <c r="DQ40" s="72">
        <f t="shared" si="33"/>
        <v>1.0039912141067298</v>
      </c>
      <c r="DR40" s="72">
        <f t="shared" si="33"/>
        <v>1.0015046716044791</v>
      </c>
      <c r="DS40" s="72">
        <f t="shared" si="33"/>
        <v>1.008781536050684</v>
      </c>
      <c r="DT40" s="112">
        <f t="shared" ref="DT40:DT46" si="34">+GEOMEAN(DG40:DS40)-1</f>
        <v>1.3405942132429516E-2</v>
      </c>
      <c r="DU40" s="58"/>
    </row>
    <row r="41" spans="1:127" s="60" customFormat="1" x14ac:dyDescent="0.3">
      <c r="B41" s="128" t="str">
        <f>+B16</f>
        <v xml:space="preserve">Depósitos cubiertos(3) </v>
      </c>
      <c r="C41" s="128"/>
      <c r="D41" s="73"/>
      <c r="E41" s="73"/>
      <c r="F41" s="73"/>
      <c r="G41" s="73"/>
      <c r="H41" s="73"/>
      <c r="I41" s="73"/>
      <c r="J41" s="73"/>
      <c r="K41" s="73"/>
      <c r="L41" s="73"/>
      <c r="M41" s="73"/>
      <c r="N41" s="73"/>
      <c r="O41" s="73"/>
      <c r="P41" s="68">
        <f t="shared" ref="P41:AV41" si="35">+P16/O16</f>
        <v>1.0029044799613305</v>
      </c>
      <c r="Q41" s="68">
        <f t="shared" si="35"/>
        <v>1.1193173033471242</v>
      </c>
      <c r="R41" s="68">
        <f t="shared" si="35"/>
        <v>0.99407284509838179</v>
      </c>
      <c r="S41" s="68">
        <f t="shared" si="35"/>
        <v>1.0308021306015913</v>
      </c>
      <c r="T41" s="68">
        <f t="shared" si="35"/>
        <v>1.0017388347216765</v>
      </c>
      <c r="U41" s="68">
        <f t="shared" si="35"/>
        <v>1.0042722394960137</v>
      </c>
      <c r="V41" s="68">
        <f t="shared" si="35"/>
        <v>1.0091440222253276</v>
      </c>
      <c r="W41" s="68">
        <f t="shared" si="35"/>
        <v>1.0124775327690922</v>
      </c>
      <c r="X41" s="68">
        <f t="shared" si="35"/>
        <v>1.0038735175252298</v>
      </c>
      <c r="Y41" s="68">
        <f t="shared" si="35"/>
        <v>1.0144237042405997</v>
      </c>
      <c r="Z41" s="68">
        <f t="shared" si="35"/>
        <v>1.0018167911015907</v>
      </c>
      <c r="AA41" s="68">
        <f t="shared" si="35"/>
        <v>1.0312476559885089</v>
      </c>
      <c r="AB41" s="68">
        <f t="shared" si="35"/>
        <v>1.0211943966884167</v>
      </c>
      <c r="AC41" s="72">
        <f t="shared" si="35"/>
        <v>0.99813853431851296</v>
      </c>
      <c r="AD41" s="72">
        <f t="shared" si="35"/>
        <v>1.0150273319137253</v>
      </c>
      <c r="AE41" s="72">
        <f t="shared" si="35"/>
        <v>1.018206357799577</v>
      </c>
      <c r="AF41" s="72">
        <f t="shared" si="35"/>
        <v>1.0393084163052215</v>
      </c>
      <c r="AG41" s="72">
        <f t="shared" si="35"/>
        <v>1.0192546212763109</v>
      </c>
      <c r="AH41" s="72">
        <f t="shared" si="35"/>
        <v>1.0005760702992323</v>
      </c>
      <c r="AI41" s="72">
        <f t="shared" si="35"/>
        <v>1.0073261510114686</v>
      </c>
      <c r="AJ41" s="72">
        <f t="shared" si="35"/>
        <v>0.99683700514642581</v>
      </c>
      <c r="AK41" s="72">
        <f t="shared" si="35"/>
        <v>0.99776145828104412</v>
      </c>
      <c r="AL41" s="72">
        <f t="shared" si="35"/>
        <v>0.99207872326249558</v>
      </c>
      <c r="AM41" s="72">
        <f t="shared" si="35"/>
        <v>0.96609044211754369</v>
      </c>
      <c r="AN41" s="72">
        <f t="shared" si="35"/>
        <v>0.99685190444884497</v>
      </c>
      <c r="AO41" s="72">
        <f t="shared" si="35"/>
        <v>1.0113716536055952</v>
      </c>
      <c r="AP41" s="72">
        <f t="shared" si="35"/>
        <v>0.99139542221311261</v>
      </c>
      <c r="AQ41" s="72">
        <f t="shared" si="35"/>
        <v>0.99849381911192781</v>
      </c>
      <c r="AR41" s="72">
        <f t="shared" si="35"/>
        <v>1.0103501328920999</v>
      </c>
      <c r="AS41" s="72">
        <f t="shared" si="35"/>
        <v>1.0058683367336716</v>
      </c>
      <c r="AT41" s="72">
        <f t="shared" si="35"/>
        <v>1.1290054649627965</v>
      </c>
      <c r="AU41" s="72">
        <f t="shared" si="35"/>
        <v>1.0382588448713437</v>
      </c>
      <c r="AV41" s="72">
        <f t="shared" si="35"/>
        <v>1.0033272521175407</v>
      </c>
      <c r="AW41" s="72">
        <f>+AW16/AV16</f>
        <v>1.0321116670065962</v>
      </c>
      <c r="AX41" s="72">
        <f t="shared" ref="AX41:BP41" si="36">+AX16/AW16</f>
        <v>1.0069467814499049</v>
      </c>
      <c r="AY41" s="72">
        <f t="shared" si="36"/>
        <v>1.021013686222205</v>
      </c>
      <c r="AZ41" s="72">
        <f t="shared" si="36"/>
        <v>1.0051107694657879</v>
      </c>
      <c r="BA41" s="72">
        <f t="shared" si="36"/>
        <v>1.0011719540238615</v>
      </c>
      <c r="BB41" s="72">
        <f t="shared" si="36"/>
        <v>1.1559811581533208</v>
      </c>
      <c r="BC41" s="72">
        <f t="shared" si="36"/>
        <v>1.0146681413796492</v>
      </c>
      <c r="BD41" s="72">
        <f t="shared" si="36"/>
        <v>1.0058798475784381</v>
      </c>
      <c r="BE41" s="72">
        <f t="shared" si="36"/>
        <v>1.0377339484574044</v>
      </c>
      <c r="BF41" s="72">
        <f t="shared" si="36"/>
        <v>1.007931759879632</v>
      </c>
      <c r="BG41" s="72">
        <f t="shared" si="36"/>
        <v>1.0123303959248133</v>
      </c>
      <c r="BH41" s="72">
        <f t="shared" si="36"/>
        <v>1.0040971770345666</v>
      </c>
      <c r="BI41" s="72">
        <f t="shared" si="36"/>
        <v>1.0156241306883318</v>
      </c>
      <c r="BJ41" s="72">
        <f t="shared" si="36"/>
        <v>1.0032063940636313</v>
      </c>
      <c r="BK41" s="72">
        <f t="shared" si="36"/>
        <v>1.0235419133468171</v>
      </c>
      <c r="BL41" s="72">
        <f t="shared" si="36"/>
        <v>1.0000122386779438</v>
      </c>
      <c r="BM41" s="72">
        <f t="shared" si="36"/>
        <v>1.009104192730643</v>
      </c>
      <c r="BN41" s="72">
        <f t="shared" si="36"/>
        <v>1.0168046622749718</v>
      </c>
      <c r="BO41" s="72">
        <f t="shared" si="36"/>
        <v>1</v>
      </c>
      <c r="BP41" s="72">
        <f t="shared" si="36"/>
        <v>1.050349653207385</v>
      </c>
      <c r="BQ41" s="72">
        <f>+BQ16/BP16</f>
        <v>1.011476992182244</v>
      </c>
      <c r="BR41" s="72">
        <f t="shared" ref="BR41:CB41" si="37">+BR16/BQ16</f>
        <v>1.0091753339865928</v>
      </c>
      <c r="BS41" s="72">
        <f t="shared" si="37"/>
        <v>1.0040841098319351</v>
      </c>
      <c r="BT41" s="72">
        <f t="shared" si="37"/>
        <v>1.0023830844046844</v>
      </c>
      <c r="BU41" s="72">
        <f t="shared" si="37"/>
        <v>1.0126472943831728</v>
      </c>
      <c r="BV41" s="72">
        <f t="shared" si="37"/>
        <v>1.0190020847248984</v>
      </c>
      <c r="BW41" s="72">
        <f t="shared" si="37"/>
        <v>0.9988902386936036</v>
      </c>
      <c r="BX41" s="72">
        <f t="shared" si="37"/>
        <v>1.0044173717565317</v>
      </c>
      <c r="BY41" s="72">
        <f t="shared" si="37"/>
        <v>1.008579725068405</v>
      </c>
      <c r="BZ41" s="72">
        <f t="shared" si="37"/>
        <v>1.0025289446182939</v>
      </c>
      <c r="CA41" s="72">
        <f t="shared" si="37"/>
        <v>1.0161040423930836</v>
      </c>
      <c r="CB41" s="72">
        <f t="shared" si="37"/>
        <v>1.0031192162162663</v>
      </c>
      <c r="CC41" s="72">
        <f t="shared" ref="CC41" si="38">+CC16/CB16</f>
        <v>1.0117589956532327</v>
      </c>
      <c r="CD41" s="72">
        <f t="shared" ref="CD41" si="39">+CD16/CC16</f>
        <v>1.0196446980030023</v>
      </c>
      <c r="CE41" s="72">
        <f t="shared" ref="CE41" si="40">+CE16/CD16</f>
        <v>1.0156555449419342</v>
      </c>
      <c r="CF41" s="72">
        <f t="shared" ref="CF41:CU41" si="41">+CF16/CE16</f>
        <v>0.99978733739825087</v>
      </c>
      <c r="CG41" s="72">
        <f t="shared" si="41"/>
        <v>1.0127208506770777</v>
      </c>
      <c r="CH41" s="72">
        <f t="shared" si="41"/>
        <v>1.0095511878938572</v>
      </c>
      <c r="CI41" s="72">
        <f t="shared" si="41"/>
        <v>1.0188978778951692</v>
      </c>
      <c r="CJ41" s="72">
        <f t="shared" si="41"/>
        <v>1.0063374350390695</v>
      </c>
      <c r="CK41" s="72">
        <f t="shared" si="41"/>
        <v>1.0071237643920137</v>
      </c>
      <c r="CL41" s="72">
        <f t="shared" si="41"/>
        <v>0.98929107565496344</v>
      </c>
      <c r="CM41" s="72">
        <f t="shared" si="41"/>
        <v>0.99909027924520166</v>
      </c>
      <c r="CN41" s="72">
        <f t="shared" si="41"/>
        <v>0.99665867971444766</v>
      </c>
      <c r="CO41" s="72">
        <f t="shared" si="41"/>
        <v>1.0153903974087193</v>
      </c>
      <c r="CP41" s="72">
        <f t="shared" si="41"/>
        <v>1.0087266356008402</v>
      </c>
      <c r="CQ41" s="72">
        <f t="shared" si="41"/>
        <v>1.0135523630758114</v>
      </c>
      <c r="CR41" s="72">
        <f t="shared" si="41"/>
        <v>1.0120956771552139</v>
      </c>
      <c r="CS41" s="72">
        <f t="shared" si="41"/>
        <v>1.0161646983554056</v>
      </c>
      <c r="CT41" s="72">
        <f t="shared" si="41"/>
        <v>1.0058315299894671</v>
      </c>
      <c r="CU41" s="72">
        <f t="shared" si="41"/>
        <v>1.0299660805778197</v>
      </c>
      <c r="CV41" s="72">
        <f t="shared" ref="CV41" si="42">+CV16/CU16</f>
        <v>1.0034689487119239</v>
      </c>
      <c r="CW41" s="72">
        <f t="shared" ref="CW41:DM41" si="43">+CW16/CV16</f>
        <v>1.0066911800722513</v>
      </c>
      <c r="CX41" s="72">
        <f t="shared" si="43"/>
        <v>1.0132755960316251</v>
      </c>
      <c r="CY41" s="72">
        <f t="shared" si="43"/>
        <v>1.0078074836599646</v>
      </c>
      <c r="CZ41" s="72">
        <f t="shared" si="43"/>
        <v>1.0149226962669378</v>
      </c>
      <c r="DA41" s="72">
        <f t="shared" si="43"/>
        <v>1.0187826199823353</v>
      </c>
      <c r="DB41" s="72">
        <f t="shared" si="43"/>
        <v>1.0096920010150159</v>
      </c>
      <c r="DC41" s="72">
        <f t="shared" si="43"/>
        <v>1.0146648403861174</v>
      </c>
      <c r="DD41" s="72">
        <f t="shared" si="43"/>
        <v>1.0111673985172853</v>
      </c>
      <c r="DE41" s="72">
        <f t="shared" si="43"/>
        <v>1.0150529691247523</v>
      </c>
      <c r="DF41" s="72">
        <f t="shared" si="43"/>
        <v>1.0097438286198015</v>
      </c>
      <c r="DG41" s="72">
        <f t="shared" si="43"/>
        <v>1.0231675390550616</v>
      </c>
      <c r="DH41" s="72">
        <f t="shared" si="43"/>
        <v>1.0023739548208324</v>
      </c>
      <c r="DI41" s="72">
        <f t="shared" si="43"/>
        <v>1.0121688179603054</v>
      </c>
      <c r="DJ41" s="72">
        <f t="shared" si="43"/>
        <v>1.0131075927160325</v>
      </c>
      <c r="DK41" s="72">
        <f t="shared" si="43"/>
        <v>1.0155832401549429</v>
      </c>
      <c r="DL41" s="72">
        <f t="shared" si="43"/>
        <v>1.0158854123241807</v>
      </c>
      <c r="DM41" s="72">
        <f t="shared" si="43"/>
        <v>1</v>
      </c>
      <c r="DN41" s="72">
        <f t="shared" ref="DN41" si="44">+DN16/DM16</f>
        <v>1.0297295519853542</v>
      </c>
      <c r="DO41" s="72">
        <f t="shared" ref="DO41:DS41" si="45">+DO16/DN16</f>
        <v>1.0155829745732787</v>
      </c>
      <c r="DP41" s="72">
        <f t="shared" si="45"/>
        <v>1.007639409566266</v>
      </c>
      <c r="DQ41" s="72">
        <f t="shared" si="45"/>
        <v>1.0026661630000167</v>
      </c>
      <c r="DR41" s="72">
        <f t="shared" si="45"/>
        <v>1.0037429076795381</v>
      </c>
      <c r="DS41" s="72">
        <f t="shared" si="45"/>
        <v>1.011110505650169</v>
      </c>
      <c r="DT41" s="112">
        <f t="shared" si="34"/>
        <v>1.1716800475527034E-2</v>
      </c>
      <c r="DU41" s="58"/>
    </row>
    <row r="42" spans="1:127" s="60" customFormat="1" x14ac:dyDescent="0.3">
      <c r="B42" s="128" t="str">
        <f>+B14</f>
        <v>Depósitos menores al monto de la cobertura</v>
      </c>
      <c r="C42" s="128"/>
      <c r="D42" s="73"/>
      <c r="E42" s="73"/>
      <c r="F42" s="73"/>
      <c r="G42" s="73"/>
      <c r="H42" s="73"/>
      <c r="I42" s="73"/>
      <c r="J42" s="73"/>
      <c r="K42" s="73"/>
      <c r="L42" s="73"/>
      <c r="M42" s="73"/>
      <c r="N42" s="73"/>
      <c r="O42" s="73"/>
      <c r="P42" s="73">
        <f t="shared" ref="P42:AV43" si="46">+P14/O14</f>
        <v>0.99890926184997375</v>
      </c>
      <c r="Q42" s="73">
        <f t="shared" si="46"/>
        <v>1.0696445569644275</v>
      </c>
      <c r="R42" s="73">
        <f t="shared" si="46"/>
        <v>0.98861199327124327</v>
      </c>
      <c r="S42" s="73">
        <f t="shared" si="46"/>
        <v>1.0318797267781779</v>
      </c>
      <c r="T42" s="73">
        <f t="shared" si="46"/>
        <v>0.99879778307286049</v>
      </c>
      <c r="U42" s="73">
        <f t="shared" si="46"/>
        <v>1.0036366154365968</v>
      </c>
      <c r="V42" s="73">
        <f t="shared" si="46"/>
        <v>1.0082524311184113</v>
      </c>
      <c r="W42" s="73">
        <f t="shared" si="46"/>
        <v>1.012115346624723</v>
      </c>
      <c r="X42" s="73">
        <f t="shared" si="46"/>
        <v>1.0015417584012323</v>
      </c>
      <c r="Y42" s="73">
        <f t="shared" si="46"/>
        <v>1.0133290401609769</v>
      </c>
      <c r="Z42" s="73">
        <f t="shared" si="46"/>
        <v>0.99746436319874299</v>
      </c>
      <c r="AA42" s="73">
        <f t="shared" si="46"/>
        <v>1.0357694068092802</v>
      </c>
      <c r="AB42" s="73">
        <f t="shared" si="46"/>
        <v>1.0191186920345803</v>
      </c>
      <c r="AC42" s="72">
        <f t="shared" si="46"/>
        <v>1.0034994448833559</v>
      </c>
      <c r="AD42" s="72">
        <f t="shared" si="46"/>
        <v>1.0069092176095382</v>
      </c>
      <c r="AE42" s="72">
        <f t="shared" si="46"/>
        <v>1.0190250771582847</v>
      </c>
      <c r="AF42" s="72">
        <f t="shared" si="46"/>
        <v>1.0409333059376926</v>
      </c>
      <c r="AG42" s="72">
        <f t="shared" si="46"/>
        <v>1.0183072283631653</v>
      </c>
      <c r="AH42" s="72">
        <f t="shared" si="46"/>
        <v>0.99993394388046819</v>
      </c>
      <c r="AI42" s="72">
        <f t="shared" si="46"/>
        <v>1.0108612253231994</v>
      </c>
      <c r="AJ42" s="72">
        <f t="shared" si="46"/>
        <v>0.99593785375617283</v>
      </c>
      <c r="AK42" s="72">
        <f t="shared" si="46"/>
        <v>0.99644512679267416</v>
      </c>
      <c r="AL42" s="72">
        <f t="shared" si="46"/>
        <v>0.98948910225890074</v>
      </c>
      <c r="AM42" s="72">
        <f t="shared" si="46"/>
        <v>0.96200593965815218</v>
      </c>
      <c r="AN42" s="72">
        <f t="shared" si="46"/>
        <v>0.99866426715891821</v>
      </c>
      <c r="AO42" s="72">
        <f t="shared" si="46"/>
        <v>1.0092203336494527</v>
      </c>
      <c r="AP42" s="72">
        <f t="shared" si="46"/>
        <v>0.98650379996220627</v>
      </c>
      <c r="AQ42" s="72">
        <f t="shared" si="46"/>
        <v>0.99889055071201516</v>
      </c>
      <c r="AR42" s="72">
        <f t="shared" si="46"/>
        <v>1.0126562999858102</v>
      </c>
      <c r="AS42" s="72">
        <f t="shared" si="46"/>
        <v>1.0048438836752349</v>
      </c>
      <c r="AT42" s="72">
        <f t="shared" si="46"/>
        <v>1.1234464908305679</v>
      </c>
      <c r="AU42" s="72">
        <f t="shared" si="46"/>
        <v>1.0381248456183747</v>
      </c>
      <c r="AV42" s="72">
        <f t="shared" si="46"/>
        <v>1.0009897332234066</v>
      </c>
      <c r="AW42" s="72">
        <f>+AW14/AV14</f>
        <v>0.99854072387417669</v>
      </c>
      <c r="AX42" s="72">
        <f t="shared" ref="AX42:BP43" si="47">+AX14/AW14</f>
        <v>1.0192566404710377</v>
      </c>
      <c r="AY42" s="72">
        <f t="shared" si="47"/>
        <v>1.0210672065808912</v>
      </c>
      <c r="AZ42" s="72">
        <f t="shared" si="47"/>
        <v>1.0018978713604187</v>
      </c>
      <c r="BA42" s="72">
        <f t="shared" si="47"/>
        <v>1.0006053725194091</v>
      </c>
      <c r="BB42" s="72">
        <f t="shared" si="47"/>
        <v>1.1628032951351115</v>
      </c>
      <c r="BC42" s="72">
        <f t="shared" si="47"/>
        <v>1.0133040405636007</v>
      </c>
      <c r="BD42" s="72">
        <f t="shared" si="47"/>
        <v>1.0047990375104894</v>
      </c>
      <c r="BE42" s="72">
        <f t="shared" si="47"/>
        <v>1.0342370138452901</v>
      </c>
      <c r="BF42" s="72">
        <f t="shared" si="47"/>
        <v>1.006096852793386</v>
      </c>
      <c r="BG42" s="72">
        <f t="shared" si="47"/>
        <v>1.0125866251036559</v>
      </c>
      <c r="BH42" s="72">
        <f t="shared" si="47"/>
        <v>1.0014065454826508</v>
      </c>
      <c r="BI42" s="72">
        <f t="shared" si="47"/>
        <v>1.0129159753689223</v>
      </c>
      <c r="BJ42" s="72">
        <f t="shared" si="47"/>
        <v>0.99986813971317301</v>
      </c>
      <c r="BK42" s="72">
        <f t="shared" si="47"/>
        <v>1.0239241766226213</v>
      </c>
      <c r="BL42" s="72">
        <f t="shared" si="47"/>
        <v>0.99986602678344993</v>
      </c>
      <c r="BM42" s="72">
        <f t="shared" si="47"/>
        <v>1.0035659300714084</v>
      </c>
      <c r="BN42" s="72">
        <f t="shared" si="47"/>
        <v>1.0097935655327559</v>
      </c>
      <c r="BO42" s="72">
        <f t="shared" si="47"/>
        <v>1</v>
      </c>
      <c r="BP42" s="72">
        <f t="shared" si="47"/>
        <v>1.0579125865531975</v>
      </c>
      <c r="BQ42" s="72">
        <f>+BQ14/BP14</f>
        <v>1.0097613612273471</v>
      </c>
      <c r="BR42" s="72">
        <f t="shared" ref="BR42:CB43" si="48">+BR14/BQ14</f>
        <v>1.0073828689861861</v>
      </c>
      <c r="BS42" s="72">
        <f t="shared" si="48"/>
        <v>1.0042313491034764</v>
      </c>
      <c r="BT42" s="72">
        <f t="shared" si="48"/>
        <v>1.0023400051456903</v>
      </c>
      <c r="BU42" s="72">
        <f t="shared" si="48"/>
        <v>1.0085019824636374</v>
      </c>
      <c r="BV42" s="72">
        <f t="shared" si="48"/>
        <v>1.0005924001499535</v>
      </c>
      <c r="BW42" s="72">
        <f t="shared" si="48"/>
        <v>1.0067868466767338</v>
      </c>
      <c r="BX42" s="72">
        <f t="shared" si="48"/>
        <v>1.0001586177760926</v>
      </c>
      <c r="BY42" s="72">
        <f t="shared" si="48"/>
        <v>1.0142482329161444</v>
      </c>
      <c r="BZ42" s="72">
        <f t="shared" si="48"/>
        <v>1.0003700348205113</v>
      </c>
      <c r="CA42" s="72">
        <f t="shared" si="48"/>
        <v>1.0165650852207389</v>
      </c>
      <c r="CB42" s="72">
        <f t="shared" si="48"/>
        <v>0.99905293195229161</v>
      </c>
      <c r="CC42" s="72">
        <f t="shared" ref="CC42:CC43" si="49">+CC14/CB14</f>
        <v>1.0104473615808267</v>
      </c>
      <c r="CD42" s="72">
        <f t="shared" ref="CD42:CD43" si="50">+CD14/CC14</f>
        <v>1.0238050858973939</v>
      </c>
      <c r="CE42" s="72">
        <f t="shared" ref="CE42:CE43" si="51">+CE14/CD14</f>
        <v>1.0149459941014234</v>
      </c>
      <c r="CF42" s="72">
        <f t="shared" ref="CF42:CU43" si="52">+CF14/CE14</f>
        <v>0.99218419220051857</v>
      </c>
      <c r="CG42" s="72">
        <f t="shared" si="52"/>
        <v>1.0109448544789759</v>
      </c>
      <c r="CH42" s="72">
        <f t="shared" si="52"/>
        <v>1.0060948936316603</v>
      </c>
      <c r="CI42" s="72">
        <f t="shared" si="52"/>
        <v>1.0217360246564382</v>
      </c>
      <c r="CJ42" s="72">
        <f t="shared" si="52"/>
        <v>1.002651757370643</v>
      </c>
      <c r="CK42" s="72">
        <f t="shared" si="52"/>
        <v>1.0044119695713516</v>
      </c>
      <c r="CL42" s="72">
        <f t="shared" si="52"/>
        <v>0.98552090267829329</v>
      </c>
      <c r="CM42" s="72">
        <f t="shared" si="52"/>
        <v>0.99869410439795958</v>
      </c>
      <c r="CN42" s="72">
        <f t="shared" si="52"/>
        <v>0.99617939023755442</v>
      </c>
      <c r="CO42" s="72">
        <f t="shared" si="52"/>
        <v>1.016959232285511</v>
      </c>
      <c r="CP42" s="72">
        <f t="shared" si="52"/>
        <v>1.0079241641562355</v>
      </c>
      <c r="CQ42" s="72">
        <f t="shared" si="52"/>
        <v>1.0131884777189841</v>
      </c>
      <c r="CR42" s="72">
        <f t="shared" si="52"/>
        <v>1.0089386213516474</v>
      </c>
      <c r="CS42" s="72">
        <f t="shared" si="52"/>
        <v>1.0151322507158194</v>
      </c>
      <c r="CT42" s="72">
        <f t="shared" si="52"/>
        <v>1.0036413056796509</v>
      </c>
      <c r="CU42" s="72">
        <f t="shared" si="52"/>
        <v>1.0296214709620692</v>
      </c>
      <c r="CV42" s="72">
        <f t="shared" ref="CV42:CV43" si="53">+CV14/CU14</f>
        <v>0.99880577987621144</v>
      </c>
      <c r="CW42" s="72">
        <f t="shared" ref="CW42:DM43" si="54">+CW14/CV14</f>
        <v>1.0054313360446263</v>
      </c>
      <c r="CX42" s="72">
        <f t="shared" si="54"/>
        <v>1.0146610685081217</v>
      </c>
      <c r="CY42" s="72">
        <f t="shared" si="54"/>
        <v>1.0062784438219887</v>
      </c>
      <c r="CZ42" s="72">
        <f t="shared" si="54"/>
        <v>1.0103046439310959</v>
      </c>
      <c r="DA42" s="72">
        <f t="shared" si="54"/>
        <v>1.0199104040935005</v>
      </c>
      <c r="DB42" s="72">
        <f t="shared" si="54"/>
        <v>1.0082107648962899</v>
      </c>
      <c r="DC42" s="72">
        <f t="shared" si="54"/>
        <v>1.0143821620822662</v>
      </c>
      <c r="DD42" s="72">
        <f t="shared" si="54"/>
        <v>1.0093360155227962</v>
      </c>
      <c r="DE42" s="72">
        <f t="shared" si="54"/>
        <v>1.0135487662876002</v>
      </c>
      <c r="DF42" s="72">
        <f t="shared" si="54"/>
        <v>1.0085161801479166</v>
      </c>
      <c r="DG42" s="72">
        <f t="shared" si="54"/>
        <v>1.0223081052127543</v>
      </c>
      <c r="DH42" s="72">
        <f t="shared" si="54"/>
        <v>0.99674371841187304</v>
      </c>
      <c r="DI42" s="72">
        <f t="shared" si="54"/>
        <v>1.0101558632187215</v>
      </c>
      <c r="DJ42" s="72">
        <f t="shared" si="54"/>
        <v>1.0113855853247202</v>
      </c>
      <c r="DK42" s="72">
        <f t="shared" si="54"/>
        <v>1.014300211252557</v>
      </c>
      <c r="DL42" s="72">
        <f t="shared" si="54"/>
        <v>1.0130409924748223</v>
      </c>
      <c r="DM42" s="72">
        <f t="shared" si="54"/>
        <v>1.0239525927066098</v>
      </c>
      <c r="DN42" s="72">
        <f t="shared" ref="DN42:DN43" si="55">+DN14/DM14</f>
        <v>1.0048261203447153</v>
      </c>
      <c r="DO42" s="72">
        <f t="shared" ref="DO42:DS43" si="56">+DO14/DN14</f>
        <v>1.0164874128599655</v>
      </c>
      <c r="DP42" s="72">
        <f t="shared" si="56"/>
        <v>1.0053142548226721</v>
      </c>
      <c r="DQ42" s="72">
        <f t="shared" si="56"/>
        <v>0.99810471157871161</v>
      </c>
      <c r="DR42" s="72">
        <f t="shared" si="56"/>
        <v>1.0006153772356936</v>
      </c>
      <c r="DS42" s="72">
        <f t="shared" si="56"/>
        <v>1.0106672111791466</v>
      </c>
      <c r="DT42" s="112">
        <f t="shared" si="34"/>
        <v>9.8054192269096951E-3</v>
      </c>
      <c r="DU42" s="58"/>
    </row>
    <row r="43" spans="1:127" s="59" customFormat="1" x14ac:dyDescent="0.3">
      <c r="B43" s="128" t="str">
        <f>+B15</f>
        <v>Depósitos mayores al monto de la cobertura</v>
      </c>
      <c r="C43" s="128"/>
      <c r="D43" s="68"/>
      <c r="E43" s="68"/>
      <c r="F43" s="68"/>
      <c r="G43" s="68"/>
      <c r="H43" s="68"/>
      <c r="I43" s="68"/>
      <c r="J43" s="68"/>
      <c r="K43" s="68"/>
      <c r="L43" s="68"/>
      <c r="M43" s="68"/>
      <c r="N43" s="68"/>
      <c r="O43" s="68"/>
      <c r="P43" s="73">
        <f t="shared" si="46"/>
        <v>1.0270062010489664</v>
      </c>
      <c r="Q43" s="73">
        <f t="shared" si="46"/>
        <v>1.7635720526097995</v>
      </c>
      <c r="R43" s="73">
        <f t="shared" si="46"/>
        <v>1.0080249692977958</v>
      </c>
      <c r="S43" s="73">
        <f t="shared" si="46"/>
        <v>1.0278914735818241</v>
      </c>
      <c r="T43" s="73">
        <f t="shared" si="46"/>
        <v>1.0330413674861372</v>
      </c>
      <c r="U43" s="73">
        <f t="shared" si="46"/>
        <v>1.0100670486060042</v>
      </c>
      <c r="V43" s="73">
        <f t="shared" si="46"/>
        <v>1.011481712148232</v>
      </c>
      <c r="W43" s="73">
        <f t="shared" si="46"/>
        <v>1.0130101549252419</v>
      </c>
      <c r="X43" s="73">
        <f t="shared" si="46"/>
        <v>1.0108764432120985</v>
      </c>
      <c r="Y43" s="73">
        <f t="shared" si="46"/>
        <v>1.0137437777371245</v>
      </c>
      <c r="Z43" s="73">
        <f t="shared" si="46"/>
        <v>1.0188637880029709</v>
      </c>
      <c r="AA43" s="73">
        <f t="shared" si="46"/>
        <v>1.0202855523249956</v>
      </c>
      <c r="AB43" s="73">
        <f t="shared" si="46"/>
        <v>0.9891808133353327</v>
      </c>
      <c r="AC43" s="72">
        <f t="shared" si="46"/>
        <v>1.0067783537132633</v>
      </c>
      <c r="AD43" s="72">
        <f t="shared" si="46"/>
        <v>1.0172828882535092</v>
      </c>
      <c r="AE43" s="72">
        <f t="shared" si="46"/>
        <v>0.99739839484308956</v>
      </c>
      <c r="AF43" s="72">
        <f t="shared" si="46"/>
        <v>1.0257351572526263</v>
      </c>
      <c r="AG43" s="72">
        <f t="shared" si="46"/>
        <v>1.0213010792473158</v>
      </c>
      <c r="AH43" s="72">
        <f t="shared" si="46"/>
        <v>1.0019235744214769</v>
      </c>
      <c r="AI43" s="72">
        <f t="shared" si="46"/>
        <v>0.98319430278689457</v>
      </c>
      <c r="AJ43" s="72">
        <f t="shared" si="46"/>
        <v>0.99896903334376541</v>
      </c>
      <c r="AK43" s="72">
        <f t="shared" si="46"/>
        <v>1.0015584993172062</v>
      </c>
      <c r="AL43" s="72">
        <f t="shared" si="46"/>
        <v>0.99551047298013196</v>
      </c>
      <c r="AM43" s="72">
        <f t="shared" si="46"/>
        <v>1.0461118411187162</v>
      </c>
      <c r="AN43" s="72">
        <f t="shared" si="46"/>
        <v>1.0058598435957786</v>
      </c>
      <c r="AO43" s="72">
        <f t="shared" si="46"/>
        <v>1.0164494496451544</v>
      </c>
      <c r="AP43" s="72">
        <f t="shared" si="46"/>
        <v>1.0270366951472452</v>
      </c>
      <c r="AQ43" s="72">
        <f t="shared" si="46"/>
        <v>1.0009348585039413</v>
      </c>
      <c r="AR43" s="72">
        <f t="shared" si="46"/>
        <v>0.99216558426557722</v>
      </c>
      <c r="AS43" s="72">
        <f t="shared" si="46"/>
        <v>1.0152709112481229</v>
      </c>
      <c r="AT43" s="72">
        <f t="shared" si="46"/>
        <v>1.1060265045983397</v>
      </c>
      <c r="AU43" s="72">
        <f t="shared" si="46"/>
        <v>1.0668898653603882</v>
      </c>
      <c r="AV43" s="72">
        <f t="shared" si="46"/>
        <v>1.0161908867115204</v>
      </c>
      <c r="AW43" s="72">
        <f>+AW15/AV15</f>
        <v>1.0930962142874787</v>
      </c>
      <c r="AX43" s="72">
        <f t="shared" si="47"/>
        <v>1.0006488195853835</v>
      </c>
      <c r="AY43" s="72">
        <f t="shared" si="47"/>
        <v>1.0230638159104328</v>
      </c>
      <c r="AZ43" s="72">
        <f t="shared" si="47"/>
        <v>1.0179477325024853</v>
      </c>
      <c r="BA43" s="72">
        <f t="shared" si="47"/>
        <v>1.0012178978277153</v>
      </c>
      <c r="BB43" s="72">
        <f t="shared" si="47"/>
        <v>0.94087042648060515</v>
      </c>
      <c r="BC43" s="72">
        <f t="shared" si="47"/>
        <v>1.0198472527984614</v>
      </c>
      <c r="BD43" s="72">
        <f t="shared" si="47"/>
        <v>1.0082017212802814</v>
      </c>
      <c r="BE43" s="72">
        <f t="shared" si="47"/>
        <v>1.0669986525753681</v>
      </c>
      <c r="BF43" s="72">
        <f t="shared" si="47"/>
        <v>1.0203134056872663</v>
      </c>
      <c r="BG43" s="72">
        <f t="shared" si="47"/>
        <v>1.0036397126818999</v>
      </c>
      <c r="BH43" s="72">
        <f t="shared" si="47"/>
        <v>1.0157001439582158</v>
      </c>
      <c r="BI43" s="72">
        <f t="shared" si="47"/>
        <v>1.011459182096105</v>
      </c>
      <c r="BJ43" s="72">
        <f t="shared" si="47"/>
        <v>1.0109568506515758</v>
      </c>
      <c r="BK43" s="72">
        <f t="shared" si="47"/>
        <v>1.0205655096361288</v>
      </c>
      <c r="BL43" s="72">
        <f t="shared" si="47"/>
        <v>1.0008630237405733</v>
      </c>
      <c r="BM43" s="72">
        <f t="shared" si="47"/>
        <v>1.023680652184038</v>
      </c>
      <c r="BN43" s="72">
        <f t="shared" si="47"/>
        <v>1.0330511328431415</v>
      </c>
      <c r="BO43" s="72">
        <f t="shared" si="47"/>
        <v>1</v>
      </c>
      <c r="BP43" s="72">
        <f t="shared" si="47"/>
        <v>1.0170248811026041</v>
      </c>
      <c r="BQ43" s="72">
        <f>+BQ15/BP15</f>
        <v>1.013272110563961</v>
      </c>
      <c r="BR43" s="72">
        <f t="shared" si="48"/>
        <v>1.0096744961353665</v>
      </c>
      <c r="BS43" s="72">
        <f t="shared" si="48"/>
        <v>1.0048048831590548</v>
      </c>
      <c r="BT43" s="72">
        <f t="shared" si="48"/>
        <v>1.0112524989549661</v>
      </c>
      <c r="BU43" s="72">
        <f t="shared" si="48"/>
        <v>1.0188297205811276</v>
      </c>
      <c r="BV43" s="72">
        <f t="shared" si="48"/>
        <v>1.0067043365231128</v>
      </c>
      <c r="BW43" s="72">
        <f t="shared" si="48"/>
        <v>1.0168492795291655</v>
      </c>
      <c r="BX43" s="72">
        <f t="shared" si="48"/>
        <v>1.0155416494770562</v>
      </c>
      <c r="BY43" s="72">
        <f t="shared" si="48"/>
        <v>1.007235948918189</v>
      </c>
      <c r="BZ43" s="72">
        <f t="shared" si="48"/>
        <v>1.0118076989739666</v>
      </c>
      <c r="CA43" s="72">
        <f t="shared" si="48"/>
        <v>1.0102261129369166</v>
      </c>
      <c r="CB43" s="72">
        <f t="shared" si="48"/>
        <v>1.0109561323322966</v>
      </c>
      <c r="CC43" s="72">
        <f t="shared" si="49"/>
        <v>1.0143710733874469</v>
      </c>
      <c r="CD43" s="72">
        <f t="shared" si="50"/>
        <v>1.005050695652951</v>
      </c>
      <c r="CE43" s="72">
        <f t="shared" si="51"/>
        <v>1.0217026315606716</v>
      </c>
      <c r="CF43" s="72">
        <f t="shared" si="52"/>
        <v>1.0177089742901115</v>
      </c>
      <c r="CG43" s="72">
        <f t="shared" si="52"/>
        <v>1.0131129966710188</v>
      </c>
      <c r="CH43" s="72">
        <f t="shared" si="52"/>
        <v>1.0174880495716436</v>
      </c>
      <c r="CI43" s="72">
        <f t="shared" si="52"/>
        <v>1.0181365900954507</v>
      </c>
      <c r="CJ43" s="72">
        <f t="shared" si="52"/>
        <v>1.0176566815768793</v>
      </c>
      <c r="CK43" s="72">
        <f t="shared" si="52"/>
        <v>1.0124828017706315</v>
      </c>
      <c r="CL43" s="72">
        <f t="shared" si="52"/>
        <v>0.99503559403904918</v>
      </c>
      <c r="CM43" s="72">
        <f t="shared" si="52"/>
        <v>0.99992271755074491</v>
      </c>
      <c r="CN43" s="72">
        <f t="shared" si="52"/>
        <v>0.99793057718127975</v>
      </c>
      <c r="CO43" s="72">
        <f t="shared" si="52"/>
        <v>1.0010907334871502</v>
      </c>
      <c r="CP43" s="72">
        <f t="shared" si="52"/>
        <v>1.0124263699810998</v>
      </c>
      <c r="CQ43" s="72">
        <f t="shared" si="52"/>
        <v>1.01641929619861</v>
      </c>
      <c r="CR43" s="72">
        <f t="shared" si="52"/>
        <v>1.0229716366750254</v>
      </c>
      <c r="CS43" s="72">
        <f t="shared" si="52"/>
        <v>1.026569845667036</v>
      </c>
      <c r="CT43" s="72">
        <f t="shared" si="52"/>
        <v>1.019219206288454</v>
      </c>
      <c r="CU43" s="72">
        <f t="shared" si="52"/>
        <v>1.0428227906680434</v>
      </c>
      <c r="CV43" s="72">
        <f t="shared" si="53"/>
        <v>1.0264495264122862</v>
      </c>
      <c r="CW43" s="107">
        <f t="shared" si="54"/>
        <v>1.0166544012983723</v>
      </c>
      <c r="CX43" s="106">
        <f t="shared" si="54"/>
        <v>1.0219130565434127</v>
      </c>
      <c r="CY43" s="106">
        <f t="shared" si="54"/>
        <v>1.0147622924440602</v>
      </c>
      <c r="CZ43" s="106">
        <f t="shared" ref="CZ43" si="57">+CZ15/CY15</f>
        <v>1.0311997710909664</v>
      </c>
      <c r="DA43" s="106">
        <f t="shared" ref="DA43" si="58">+DA15/CZ15</f>
        <v>1.0166534225666743</v>
      </c>
      <c r="DB43" s="106">
        <f t="shared" ref="DB43" si="59">+DB15/DA15</f>
        <v>1.0150075400970175</v>
      </c>
      <c r="DC43" s="106">
        <f t="shared" ref="DC43" si="60">+DC15/DB15</f>
        <v>1.0213786170913095</v>
      </c>
      <c r="DD43" s="106">
        <f t="shared" ref="DD43" si="61">+DD15/DC15</f>
        <v>1.0211056628933413</v>
      </c>
      <c r="DE43" s="106">
        <f t="shared" ref="DE43" si="62">+DE15/DD15</f>
        <v>1.0250560527495123</v>
      </c>
      <c r="DF43" s="106">
        <f t="shared" ref="DF43" si="63">+DF15/DE15</f>
        <v>1.0153066413090248</v>
      </c>
      <c r="DG43" s="106">
        <f t="shared" ref="DG43" si="64">+DG15/DF15</f>
        <v>1.0363464881818878</v>
      </c>
      <c r="DH43" s="106">
        <f t="shared" ref="DH43" si="65">+DH15/DG15</f>
        <v>1.0184975727668533</v>
      </c>
      <c r="DI43" s="106">
        <f t="shared" ref="DI43" si="66">+DI15/DH15</f>
        <v>1.0209816424309532</v>
      </c>
      <c r="DJ43" s="106">
        <f t="shared" ref="DJ43" si="67">+DJ15/DI15</f>
        <v>1.0243264369170284</v>
      </c>
      <c r="DK43" s="106">
        <f t="shared" ref="DK43" si="68">+DK15/DJ15</f>
        <v>1.0203987764482443</v>
      </c>
      <c r="DL43" s="106">
        <f>+DL15/DK15</f>
        <v>1.0244484261213658</v>
      </c>
      <c r="DM43" s="106">
        <f>+DM15/DL15</f>
        <v>1.0116602320174271</v>
      </c>
      <c r="DN43" s="106">
        <f t="shared" si="55"/>
        <v>1.0112829725153536</v>
      </c>
      <c r="DO43" s="106">
        <f t="shared" si="56"/>
        <v>1.0090024654990495</v>
      </c>
      <c r="DP43" s="106">
        <f t="shared" si="56"/>
        <v>1.0070420791337855</v>
      </c>
      <c r="DQ43" s="106">
        <f t="shared" si="56"/>
        <v>1.0071711300855313</v>
      </c>
      <c r="DR43" s="106">
        <f t="shared" si="56"/>
        <v>1.0019807480443632</v>
      </c>
      <c r="DS43" s="106">
        <f t="shared" si="56"/>
        <v>1.0077734309414321</v>
      </c>
      <c r="DT43" s="112">
        <f t="shared" si="34"/>
        <v>1.5412773511044975E-2</v>
      </c>
      <c r="DU43" s="58"/>
    </row>
    <row r="44" spans="1:127" s="59" customFormat="1" x14ac:dyDescent="0.3">
      <c r="B44" s="126" t="str">
        <f>+B19</f>
        <v>Número de clientes (en número)</v>
      </c>
      <c r="C44" s="126"/>
      <c r="D44" s="68"/>
      <c r="E44" s="68"/>
      <c r="F44" s="68"/>
      <c r="G44" s="68"/>
      <c r="H44" s="68"/>
      <c r="I44" s="68"/>
      <c r="J44" s="68"/>
      <c r="K44" s="68"/>
      <c r="L44" s="68"/>
      <c r="M44" s="68"/>
      <c r="N44" s="68"/>
      <c r="O44" s="68"/>
      <c r="P44" s="68">
        <f t="shared" ref="P44:AV46" si="69">+P19/O19</f>
        <v>1.0075892099470325</v>
      </c>
      <c r="Q44" s="68">
        <f t="shared" si="69"/>
        <v>1.2298176794175708</v>
      </c>
      <c r="R44" s="68">
        <f t="shared" si="69"/>
        <v>1.0044010077617278</v>
      </c>
      <c r="S44" s="68">
        <f t="shared" si="69"/>
        <v>1.0348480010420615</v>
      </c>
      <c r="T44" s="68">
        <f t="shared" si="69"/>
        <v>1.0676936396959684</v>
      </c>
      <c r="U44" s="68">
        <f t="shared" si="69"/>
        <v>1.0629567887021261</v>
      </c>
      <c r="V44" s="68">
        <f t="shared" si="69"/>
        <v>1.0072071218610126</v>
      </c>
      <c r="W44" s="68">
        <f t="shared" si="69"/>
        <v>1.0115136886473159</v>
      </c>
      <c r="X44" s="68">
        <f t="shared" si="69"/>
        <v>1.0097727688087859</v>
      </c>
      <c r="Y44" s="68">
        <f t="shared" si="69"/>
        <v>1.0139010339070607</v>
      </c>
      <c r="Z44" s="68">
        <f t="shared" si="69"/>
        <v>0.99723450377885925</v>
      </c>
      <c r="AA44" s="68">
        <f t="shared" si="69"/>
        <v>1.0055546608467401</v>
      </c>
      <c r="AB44" s="68">
        <f t="shared" si="69"/>
        <v>1.0028695888929164</v>
      </c>
      <c r="AC44" s="72">
        <f t="shared" si="69"/>
        <v>0.97241215369718548</v>
      </c>
      <c r="AD44" s="72">
        <f t="shared" si="69"/>
        <v>1.0068782357647117</v>
      </c>
      <c r="AE44" s="72">
        <f t="shared" si="69"/>
        <v>1.0607442512201739</v>
      </c>
      <c r="AF44" s="72">
        <f t="shared" si="69"/>
        <v>1.0445347571428345</v>
      </c>
      <c r="AG44" s="72">
        <f t="shared" si="69"/>
        <v>1.0144470794073279</v>
      </c>
      <c r="AH44" s="72">
        <f t="shared" si="69"/>
        <v>1.0097475907910045</v>
      </c>
      <c r="AI44" s="72">
        <f t="shared" si="69"/>
        <v>0.98928995728867675</v>
      </c>
      <c r="AJ44" s="72">
        <f t="shared" si="69"/>
        <v>1.01278046175638</v>
      </c>
      <c r="AK44" s="72">
        <f t="shared" si="69"/>
        <v>1.0044107786352323</v>
      </c>
      <c r="AL44" s="72">
        <f t="shared" si="69"/>
        <v>1.0058577290474484</v>
      </c>
      <c r="AM44" s="72">
        <f t="shared" si="69"/>
        <v>1.0530556766791648</v>
      </c>
      <c r="AN44" s="72">
        <f t="shared" si="69"/>
        <v>1.0032386873359562</v>
      </c>
      <c r="AO44" s="72">
        <f t="shared" si="69"/>
        <v>0.99789459765807587</v>
      </c>
      <c r="AP44" s="72">
        <f t="shared" si="69"/>
        <v>0.95966482110748408</v>
      </c>
      <c r="AQ44" s="72">
        <f t="shared" si="69"/>
        <v>0.99478451820990932</v>
      </c>
      <c r="AR44" s="72">
        <f t="shared" si="69"/>
        <v>0.99692474078950466</v>
      </c>
      <c r="AS44" s="72">
        <f t="shared" si="69"/>
        <v>1.0272855068190183</v>
      </c>
      <c r="AT44" s="72">
        <f t="shared" si="69"/>
        <v>1.0464413127194894</v>
      </c>
      <c r="AU44" s="72">
        <f t="shared" si="69"/>
        <v>0.97741007285677417</v>
      </c>
      <c r="AV44" s="72">
        <f t="shared" si="69"/>
        <v>1.0026869553102893</v>
      </c>
      <c r="AW44" s="72">
        <f>+AW19/AV19</f>
        <v>0.99798948908661389</v>
      </c>
      <c r="AX44" s="72">
        <f t="shared" ref="AX44:BP46" si="70">+AX19/AW19</f>
        <v>1.0053501968849559</v>
      </c>
      <c r="AY44" s="72">
        <f t="shared" si="70"/>
        <v>1.0077971743744174</v>
      </c>
      <c r="AZ44" s="72">
        <f t="shared" si="70"/>
        <v>1.0018840571965564</v>
      </c>
      <c r="BA44" s="72">
        <f t="shared" si="70"/>
        <v>1.0002293495843897</v>
      </c>
      <c r="BB44" s="72">
        <f t="shared" si="70"/>
        <v>1.0199643789784172</v>
      </c>
      <c r="BC44" s="72">
        <f t="shared" si="70"/>
        <v>1.0037460171120596</v>
      </c>
      <c r="BD44" s="72">
        <f t="shared" si="70"/>
        <v>0.9991462359302673</v>
      </c>
      <c r="BE44" s="72">
        <f t="shared" si="70"/>
        <v>1.0329333780960686</v>
      </c>
      <c r="BF44" s="72">
        <f t="shared" si="70"/>
        <v>1.0032606924555481</v>
      </c>
      <c r="BG44" s="72">
        <f t="shared" si="70"/>
        <v>1.0072889626558879</v>
      </c>
      <c r="BH44" s="72">
        <f t="shared" si="70"/>
        <v>1.0062566732830533</v>
      </c>
      <c r="BI44" s="72">
        <f t="shared" si="70"/>
        <v>1.0063651005089755</v>
      </c>
      <c r="BJ44" s="72">
        <f t="shared" si="70"/>
        <v>1.0010808649286596</v>
      </c>
      <c r="BK44" s="72">
        <f t="shared" si="70"/>
        <v>1.0060961903736436</v>
      </c>
      <c r="BL44" s="72">
        <f t="shared" si="70"/>
        <v>1.0006435297213503</v>
      </c>
      <c r="BM44" s="72">
        <f t="shared" si="70"/>
        <v>1.0010305232572365</v>
      </c>
      <c r="BN44" s="72">
        <f t="shared" si="70"/>
        <v>1.0144804895162713</v>
      </c>
      <c r="BO44" s="72">
        <f t="shared" si="70"/>
        <v>1</v>
      </c>
      <c r="BP44" s="72">
        <f t="shared" si="70"/>
        <v>1.0126187251754575</v>
      </c>
      <c r="BQ44" s="72">
        <f>+BQ19/BP19</f>
        <v>1.0086503934258804</v>
      </c>
      <c r="BR44" s="72">
        <f t="shared" ref="BR44:CB46" si="71">+BR19/BQ19</f>
        <v>1.0055000562743168</v>
      </c>
      <c r="BS44" s="72">
        <f t="shared" si="71"/>
        <v>1.0022468370550497</v>
      </c>
      <c r="BT44" s="72">
        <f t="shared" si="71"/>
        <v>1.0273241204769934</v>
      </c>
      <c r="BU44" s="72">
        <f t="shared" si="71"/>
        <v>1.0304405541454147</v>
      </c>
      <c r="BV44" s="72">
        <f t="shared" si="71"/>
        <v>1.0041212015845993</v>
      </c>
      <c r="BW44" s="72">
        <f t="shared" si="71"/>
        <v>0.9755002327834611</v>
      </c>
      <c r="BX44" s="72">
        <f t="shared" si="71"/>
        <v>0.98197635294410524</v>
      </c>
      <c r="BY44" s="72">
        <f t="shared" si="71"/>
        <v>1.0452438195722162</v>
      </c>
      <c r="BZ44" s="72">
        <f t="shared" si="71"/>
        <v>1.0090991942239691</v>
      </c>
      <c r="CA44" s="72">
        <f t="shared" si="71"/>
        <v>1.0064725930710015</v>
      </c>
      <c r="CB44" s="72">
        <f t="shared" si="71"/>
        <v>1.0008161673395468</v>
      </c>
      <c r="CC44" s="72">
        <f t="shared" ref="CC44:CC46" si="72">+CC19/CB19</f>
        <v>1.0065625883995988</v>
      </c>
      <c r="CD44" s="72">
        <f t="shared" ref="CD44:CD46" si="73">+CD19/CC19</f>
        <v>1.0074380766241282</v>
      </c>
      <c r="CE44" s="72">
        <f t="shared" ref="CE44:CE46" si="74">+CE19/CD19</f>
        <v>1.0070560411065328</v>
      </c>
      <c r="CF44" s="72">
        <f t="shared" ref="CF44:CU46" si="75">+CF19/CE19</f>
        <v>1.0040488966959293</v>
      </c>
      <c r="CG44" s="72">
        <f t="shared" si="75"/>
        <v>1.0499036321700703</v>
      </c>
      <c r="CH44" s="72">
        <f t="shared" si="75"/>
        <v>1.0221330075297292</v>
      </c>
      <c r="CI44" s="72">
        <f t="shared" si="75"/>
        <v>1.0066084631115306</v>
      </c>
      <c r="CJ44" s="72">
        <f t="shared" si="75"/>
        <v>1.0069381268129201</v>
      </c>
      <c r="CK44" s="72">
        <f t="shared" si="75"/>
        <v>1.0016837808745818</v>
      </c>
      <c r="CL44" s="72">
        <f t="shared" si="75"/>
        <v>1.0030484866077856</v>
      </c>
      <c r="CM44" s="72">
        <f t="shared" si="75"/>
        <v>1.0000180945451014</v>
      </c>
      <c r="CN44" s="72">
        <f t="shared" si="75"/>
        <v>1.0034353637583191</v>
      </c>
      <c r="CO44" s="72">
        <f t="shared" si="75"/>
        <v>1.0033379491547154</v>
      </c>
      <c r="CP44" s="72">
        <f t="shared" si="75"/>
        <v>1.0025495432191684</v>
      </c>
      <c r="CQ44" s="72">
        <f t="shared" si="75"/>
        <v>1.0039695340041443</v>
      </c>
      <c r="CR44" s="72">
        <f t="shared" si="75"/>
        <v>1.0046838540083425</v>
      </c>
      <c r="CS44" s="72">
        <f t="shared" si="75"/>
        <v>1.0031826778404822</v>
      </c>
      <c r="CT44" s="72">
        <f t="shared" si="75"/>
        <v>1.0018794155814765</v>
      </c>
      <c r="CU44" s="72">
        <f t="shared" si="75"/>
        <v>1.007596179256935</v>
      </c>
      <c r="CV44" s="72">
        <f t="shared" ref="CV44:CV46" si="76">+CV19/CU19</f>
        <v>1.0018582165273298</v>
      </c>
      <c r="CW44" s="72">
        <f t="shared" ref="CW44:DM46" si="77">+CW19/CV19</f>
        <v>1.0037221436035217</v>
      </c>
      <c r="CX44" s="72">
        <f t="shared" si="77"/>
        <v>1.0135508521425809</v>
      </c>
      <c r="CY44" s="72">
        <f t="shared" si="77"/>
        <v>1.0048027541502027</v>
      </c>
      <c r="CZ44" s="72">
        <f t="shared" si="77"/>
        <v>1.0079395804448334</v>
      </c>
      <c r="DA44" s="72">
        <f t="shared" si="77"/>
        <v>1.0086843993368209</v>
      </c>
      <c r="DB44" s="72">
        <f t="shared" si="77"/>
        <v>0.99413095636346627</v>
      </c>
      <c r="DC44" s="72">
        <f t="shared" si="77"/>
        <v>1.0064863496878764</v>
      </c>
      <c r="DD44" s="72">
        <f t="shared" si="77"/>
        <v>1.0061229472524287</v>
      </c>
      <c r="DE44" s="72">
        <f t="shared" si="77"/>
        <v>1.0067985791526981</v>
      </c>
      <c r="DF44" s="72">
        <f t="shared" si="77"/>
        <v>1.00997264617807</v>
      </c>
      <c r="DG44" s="72">
        <f t="shared" si="77"/>
        <v>1.0101567986666968</v>
      </c>
      <c r="DH44" s="72">
        <f t="shared" si="77"/>
        <v>1.0177314484113476</v>
      </c>
      <c r="DI44" s="72">
        <f t="shared" si="77"/>
        <v>1.0043268457015533</v>
      </c>
      <c r="DJ44" s="72">
        <f t="shared" si="77"/>
        <v>1.002888828947371</v>
      </c>
      <c r="DK44" s="72">
        <f t="shared" si="77"/>
        <v>1.0048979004551859</v>
      </c>
      <c r="DL44" s="72">
        <f t="shared" si="77"/>
        <v>1.0075007311138413</v>
      </c>
      <c r="DM44" s="72">
        <f t="shared" si="77"/>
        <v>1.0082501896416445</v>
      </c>
      <c r="DN44" s="72">
        <f t="shared" ref="DN44:DN46" si="78">+DN19/DM19</f>
        <v>1.0074720189904991</v>
      </c>
      <c r="DO44" s="72">
        <f t="shared" ref="DO44:DS46" si="79">+DO19/DN19</f>
        <v>1.0085330472799774</v>
      </c>
      <c r="DP44" s="72">
        <f t="shared" si="79"/>
        <v>1.0085418982652588</v>
      </c>
      <c r="DQ44" s="72">
        <f t="shared" si="79"/>
        <v>1.0069258165254147</v>
      </c>
      <c r="DR44" s="72">
        <f t="shared" si="79"/>
        <v>1.0069716117801977</v>
      </c>
      <c r="DS44" s="72">
        <f t="shared" si="79"/>
        <v>1.004749058456722</v>
      </c>
      <c r="DT44" s="112">
        <f t="shared" si="34"/>
        <v>7.6051381512478589E-3</v>
      </c>
      <c r="DU44" s="58"/>
    </row>
    <row r="45" spans="1:127" s="59" customFormat="1" x14ac:dyDescent="0.3">
      <c r="B45" s="126" t="str">
        <f>+B20</f>
        <v>Con depósitos menores al monto de la cobertura</v>
      </c>
      <c r="C45" s="126"/>
      <c r="D45" s="68"/>
      <c r="E45" s="68"/>
      <c r="F45" s="68"/>
      <c r="G45" s="68"/>
      <c r="H45" s="68"/>
      <c r="I45" s="68"/>
      <c r="J45" s="68"/>
      <c r="K45" s="68"/>
      <c r="L45" s="68"/>
      <c r="M45" s="68"/>
      <c r="N45" s="68"/>
      <c r="O45" s="68"/>
      <c r="P45" s="68">
        <f t="shared" si="69"/>
        <v>1.0075368866997414</v>
      </c>
      <c r="Q45" s="68">
        <f t="shared" si="69"/>
        <v>1.2103644455375686</v>
      </c>
      <c r="R45" s="68">
        <f t="shared" si="69"/>
        <v>1.0034426661884992</v>
      </c>
      <c r="S45" s="68">
        <f t="shared" si="69"/>
        <v>1.0329166497138988</v>
      </c>
      <c r="T45" s="68">
        <f t="shared" si="69"/>
        <v>1.0577111290107075</v>
      </c>
      <c r="U45" s="68">
        <f t="shared" si="69"/>
        <v>1.0611962266562336</v>
      </c>
      <c r="V45" s="68">
        <f t="shared" si="69"/>
        <v>1.0067093940489396</v>
      </c>
      <c r="W45" s="68">
        <f t="shared" si="69"/>
        <v>1.0112245229414347</v>
      </c>
      <c r="X45" s="68">
        <f t="shared" si="69"/>
        <v>1.0100937670097523</v>
      </c>
      <c r="Y45" s="68">
        <f t="shared" si="69"/>
        <v>1.0138609956329778</v>
      </c>
      <c r="Z45" s="68">
        <f t="shared" si="69"/>
        <v>0.99744307352927952</v>
      </c>
      <c r="AA45" s="68">
        <f t="shared" si="69"/>
        <v>1.0047089512257885</v>
      </c>
      <c r="AB45" s="68">
        <f t="shared" si="69"/>
        <v>1.009080044551897</v>
      </c>
      <c r="AC45" s="72">
        <f t="shared" si="69"/>
        <v>0.97211038734448851</v>
      </c>
      <c r="AD45" s="72">
        <f t="shared" si="69"/>
        <v>1.0069212163472538</v>
      </c>
      <c r="AE45" s="72">
        <f t="shared" si="69"/>
        <v>1.0606130282709314</v>
      </c>
      <c r="AF45" s="72">
        <f t="shared" si="69"/>
        <v>1.0444584924359459</v>
      </c>
      <c r="AG45" s="72">
        <f t="shared" si="69"/>
        <v>1.0141316530959028</v>
      </c>
      <c r="AH45" s="72">
        <f t="shared" si="69"/>
        <v>1.0100672889731428</v>
      </c>
      <c r="AI45" s="72">
        <f t="shared" si="69"/>
        <v>0.98971275612110932</v>
      </c>
      <c r="AJ45" s="72">
        <f t="shared" si="69"/>
        <v>1.0132362494958962</v>
      </c>
      <c r="AK45" s="72">
        <f t="shared" si="69"/>
        <v>1.0044900614324896</v>
      </c>
      <c r="AL45" s="72">
        <f t="shared" si="69"/>
        <v>1.0061061532823321</v>
      </c>
      <c r="AM45" s="72">
        <f t="shared" si="69"/>
        <v>1.046128108600533</v>
      </c>
      <c r="AN45" s="72">
        <f t="shared" si="69"/>
        <v>1.0034607816888865</v>
      </c>
      <c r="AO45" s="72">
        <f t="shared" si="69"/>
        <v>0.99743577308616493</v>
      </c>
      <c r="AP45" s="72">
        <f t="shared" si="69"/>
        <v>0.95901693008161604</v>
      </c>
      <c r="AQ45" s="72">
        <f t="shared" si="69"/>
        <v>0.99458024099530407</v>
      </c>
      <c r="AR45" s="72">
        <f t="shared" si="69"/>
        <v>0.99803636361189307</v>
      </c>
      <c r="AS45" s="72">
        <f t="shared" si="69"/>
        <v>1.0268478097067595</v>
      </c>
      <c r="AT45" s="72">
        <f t="shared" si="69"/>
        <v>1.0474135680931054</v>
      </c>
      <c r="AU45" s="72">
        <f t="shared" si="69"/>
        <v>0.97656030826414597</v>
      </c>
      <c r="AV45" s="72">
        <f t="shared" si="69"/>
        <v>1.0026702209696925</v>
      </c>
      <c r="AW45" s="72">
        <f>+AW20/AV20</f>
        <v>0.99812743584198882</v>
      </c>
      <c r="AX45" s="72">
        <f t="shared" si="70"/>
        <v>1.0043103752411044</v>
      </c>
      <c r="AY45" s="72">
        <f t="shared" si="70"/>
        <v>1.0071950670973817</v>
      </c>
      <c r="AZ45" s="72">
        <f t="shared" si="70"/>
        <v>1.0018139377382755</v>
      </c>
      <c r="BA45" s="72">
        <f t="shared" si="70"/>
        <v>1.0002217029636036</v>
      </c>
      <c r="BB45" s="72">
        <f t="shared" si="70"/>
        <v>1.0417634721145728</v>
      </c>
      <c r="BC45" s="72">
        <f t="shared" si="70"/>
        <v>1.0039663519949458</v>
      </c>
      <c r="BD45" s="72">
        <f t="shared" si="70"/>
        <v>0.9990910269429053</v>
      </c>
      <c r="BE45" s="72">
        <f t="shared" si="70"/>
        <v>1.0326050289882369</v>
      </c>
      <c r="BF45" s="72">
        <f t="shared" si="70"/>
        <v>1.0032389573401899</v>
      </c>
      <c r="BG45" s="72">
        <f t="shared" si="70"/>
        <v>1.0074271585133756</v>
      </c>
      <c r="BH45" s="72">
        <f t="shared" si="70"/>
        <v>1.0062386442833922</v>
      </c>
      <c r="BI45" s="72">
        <f t="shared" si="70"/>
        <v>1.0062512912688815</v>
      </c>
      <c r="BJ45" s="72">
        <f t="shared" si="70"/>
        <v>1.0009450715150918</v>
      </c>
      <c r="BK45" s="72">
        <f t="shared" si="70"/>
        <v>1.0058349873646608</v>
      </c>
      <c r="BL45" s="72">
        <f t="shared" si="70"/>
        <v>1.000642404534118</v>
      </c>
      <c r="BM45" s="72">
        <f t="shared" si="70"/>
        <v>1.0007964456904395</v>
      </c>
      <c r="BN45" s="72">
        <f t="shared" si="70"/>
        <v>1.0142959075800939</v>
      </c>
      <c r="BO45" s="72">
        <f t="shared" si="70"/>
        <v>1</v>
      </c>
      <c r="BP45" s="72">
        <f t="shared" si="70"/>
        <v>1.013175317694573</v>
      </c>
      <c r="BQ45" s="72">
        <f>+BQ20/BP20</f>
        <v>1.0086335083783045</v>
      </c>
      <c r="BR45" s="72">
        <f t="shared" si="71"/>
        <v>1.0055154246530118</v>
      </c>
      <c r="BS45" s="72">
        <f t="shared" si="71"/>
        <v>1.0022703421002361</v>
      </c>
      <c r="BT45" s="72">
        <f t="shared" si="71"/>
        <v>1.0264415189228693</v>
      </c>
      <c r="BU45" s="72">
        <f t="shared" si="71"/>
        <v>1.0293279633523715</v>
      </c>
      <c r="BV45" s="72">
        <f t="shared" si="71"/>
        <v>1.0040306766113372</v>
      </c>
      <c r="BW45" s="72">
        <f t="shared" si="71"/>
        <v>0.975886480983854</v>
      </c>
      <c r="BX45" s="72">
        <f t="shared" si="71"/>
        <v>0.98363275556719565</v>
      </c>
      <c r="BY45" s="72">
        <f t="shared" si="71"/>
        <v>1.0431290656273124</v>
      </c>
      <c r="BZ45" s="72">
        <f t="shared" si="71"/>
        <v>1.0088525995618078</v>
      </c>
      <c r="CA45" s="72">
        <f t="shared" si="71"/>
        <v>1.0064177090328814</v>
      </c>
      <c r="CB45" s="72">
        <f t="shared" si="71"/>
        <v>1.0007695836717581</v>
      </c>
      <c r="CC45" s="72">
        <f t="shared" si="72"/>
        <v>1.006518847800363</v>
      </c>
      <c r="CD45" s="72">
        <f t="shared" si="73"/>
        <v>1.0076785587045893</v>
      </c>
      <c r="CE45" s="72">
        <f t="shared" si="74"/>
        <v>1.0070076303623801</v>
      </c>
      <c r="CF45" s="72">
        <f t="shared" si="75"/>
        <v>1.0040538360884832</v>
      </c>
      <c r="CG45" s="72">
        <f t="shared" si="75"/>
        <v>1.0509595702478283</v>
      </c>
      <c r="CH45" s="72">
        <f t="shared" si="75"/>
        <v>1.022433156227827</v>
      </c>
      <c r="CI45" s="72">
        <f t="shared" si="75"/>
        <v>1.0066006555359386</v>
      </c>
      <c r="CJ45" s="72">
        <f t="shared" si="75"/>
        <v>1.006951228561354</v>
      </c>
      <c r="CK45" s="72">
        <f t="shared" si="75"/>
        <v>1.0015912937801865</v>
      </c>
      <c r="CL45" s="72">
        <f t="shared" si="75"/>
        <v>1.003161869986448</v>
      </c>
      <c r="CM45" s="72">
        <f t="shared" si="75"/>
        <v>1.0000450384326087</v>
      </c>
      <c r="CN45" s="72">
        <f t="shared" si="75"/>
        <v>1.0034240021347929</v>
      </c>
      <c r="CO45" s="72">
        <f t="shared" si="75"/>
        <v>1.0038230904274996</v>
      </c>
      <c r="CP45" s="72">
        <f t="shared" si="75"/>
        <v>1.0026255074397741</v>
      </c>
      <c r="CQ45" s="72">
        <f t="shared" si="75"/>
        <v>1.0040044043109402</v>
      </c>
      <c r="CR45" s="72">
        <f t="shared" si="75"/>
        <v>1.0045748239359591</v>
      </c>
      <c r="CS45" s="72">
        <f t="shared" si="75"/>
        <v>1.0030622723046232</v>
      </c>
      <c r="CT45" s="72">
        <f t="shared" si="75"/>
        <v>1.0018224324851366</v>
      </c>
      <c r="CU45" s="72">
        <f t="shared" si="75"/>
        <v>1.007437434446657</v>
      </c>
      <c r="CV45" s="72">
        <f t="shared" si="76"/>
        <v>1.0016184641711676</v>
      </c>
      <c r="CW45" s="72">
        <f t="shared" si="77"/>
        <v>1.0037115594312733</v>
      </c>
      <c r="CX45" s="72">
        <f t="shared" si="77"/>
        <v>1.0136518601247142</v>
      </c>
      <c r="CY45" s="72">
        <f t="shared" si="77"/>
        <v>1.0046926479639773</v>
      </c>
      <c r="CZ45" s="72">
        <f t="shared" si="77"/>
        <v>1.0077933436860205</v>
      </c>
      <c r="DA45" s="72">
        <f t="shared" si="77"/>
        <v>1.0087226568573546</v>
      </c>
      <c r="DB45" s="72">
        <f t="shared" si="77"/>
        <v>0.99412422414194535</v>
      </c>
      <c r="DC45" s="72">
        <f t="shared" si="77"/>
        <v>1.0067686967564065</v>
      </c>
      <c r="DD45" s="72">
        <f t="shared" si="77"/>
        <v>1.0060008314071147</v>
      </c>
      <c r="DE45" s="72">
        <f t="shared" si="77"/>
        <v>1.0067140564605568</v>
      </c>
      <c r="DF45" s="72">
        <f t="shared" si="77"/>
        <v>1.0099170960010861</v>
      </c>
      <c r="DG45" s="72">
        <f t="shared" si="77"/>
        <v>1.0099829625496048</v>
      </c>
      <c r="DH45" s="72">
        <f t="shared" si="77"/>
        <v>1.0178382559265344</v>
      </c>
      <c r="DI45" s="72">
        <f t="shared" si="77"/>
        <v>1.0041898391404063</v>
      </c>
      <c r="DJ45" s="72">
        <f t="shared" si="77"/>
        <v>1.0027544393003907</v>
      </c>
      <c r="DK45" s="72">
        <f t="shared" si="77"/>
        <v>1.0046688746855628</v>
      </c>
      <c r="DL45" s="72">
        <f t="shared" si="77"/>
        <v>1.0073622168213694</v>
      </c>
      <c r="DM45" s="72">
        <f t="shared" si="77"/>
        <v>1.0086707427343999</v>
      </c>
      <c r="DN45" s="72">
        <f t="shared" si="78"/>
        <v>1.007495453914915</v>
      </c>
      <c r="DO45" s="72">
        <f t="shared" si="79"/>
        <v>1.0084666753080909</v>
      </c>
      <c r="DP45" s="72">
        <f t="shared" si="79"/>
        <v>1.008538502332162</v>
      </c>
      <c r="DQ45" s="72">
        <f t="shared" si="79"/>
        <v>1.0069384793139422</v>
      </c>
      <c r="DR45" s="72">
        <f t="shared" si="79"/>
        <v>1.0070445174614762</v>
      </c>
      <c r="DS45" s="72">
        <f t="shared" si="79"/>
        <v>1.0047260853471525</v>
      </c>
      <c r="DT45" s="112">
        <f t="shared" si="34"/>
        <v>7.5842257623317533E-3</v>
      </c>
      <c r="DU45" s="58"/>
    </row>
    <row r="46" spans="1:127" s="59" customFormat="1" x14ac:dyDescent="0.3">
      <c r="B46" s="126" t="str">
        <f>+B21</f>
        <v>Con depósitos mayores al monto de la cobertura</v>
      </c>
      <c r="C46" s="126"/>
      <c r="D46" s="68"/>
      <c r="E46" s="68"/>
      <c r="F46" s="68"/>
      <c r="G46" s="68"/>
      <c r="H46" s="68"/>
      <c r="I46" s="68"/>
      <c r="J46" s="68"/>
      <c r="K46" s="68"/>
      <c r="L46" s="68"/>
      <c r="M46" s="68"/>
      <c r="N46" s="68"/>
      <c r="O46" s="68"/>
      <c r="P46" s="68">
        <f t="shared" si="69"/>
        <v>1.017907949790795</v>
      </c>
      <c r="Q46" s="68">
        <f t="shared" si="69"/>
        <v>5.0271292338046694</v>
      </c>
      <c r="R46" s="68">
        <f t="shared" si="69"/>
        <v>1.0494412646497684</v>
      </c>
      <c r="S46" s="68">
        <f t="shared" si="69"/>
        <v>1.1216393102015374</v>
      </c>
      <c r="T46" s="68">
        <f t="shared" si="69"/>
        <v>1.4808046754160917</v>
      </c>
      <c r="U46" s="68">
        <f t="shared" si="69"/>
        <v>1.1149980297846522</v>
      </c>
      <c r="V46" s="68">
        <f t="shared" si="69"/>
        <v>1.0212097583961137</v>
      </c>
      <c r="W46" s="68">
        <f t="shared" si="69"/>
        <v>1.0195333098962911</v>
      </c>
      <c r="X46" s="68">
        <f t="shared" si="69"/>
        <v>1.0009428676106118</v>
      </c>
      <c r="Y46" s="68">
        <f t="shared" si="69"/>
        <v>1.0150124610424214</v>
      </c>
      <c r="Z46" s="68">
        <f t="shared" si="69"/>
        <v>0.99145135972169196</v>
      </c>
      <c r="AA46" s="68">
        <f t="shared" si="69"/>
        <v>1.0291458952908705</v>
      </c>
      <c r="AB46" s="68">
        <f t="shared" si="69"/>
        <v>0.83374132688859437</v>
      </c>
      <c r="AC46" s="72">
        <f t="shared" si="69"/>
        <v>0.98235836824256928</v>
      </c>
      <c r="AD46" s="72">
        <f t="shared" si="69"/>
        <v>1.0054763748048685</v>
      </c>
      <c r="AE46" s="72">
        <f t="shared" si="69"/>
        <v>1.0650303883268433</v>
      </c>
      <c r="AF46" s="72">
        <f t="shared" si="69"/>
        <v>1.0470154604658881</v>
      </c>
      <c r="AG46" s="72">
        <f t="shared" si="69"/>
        <v>1.0246820648944177</v>
      </c>
      <c r="AH46" s="72">
        <f t="shared" si="69"/>
        <v>0.99948080067164513</v>
      </c>
      <c r="AI46" s="72">
        <f t="shared" si="69"/>
        <v>0.9755683764934735</v>
      </c>
      <c r="AJ46" s="72">
        <f t="shared" si="69"/>
        <v>0.99777378733721178</v>
      </c>
      <c r="AK46" s="72">
        <f t="shared" si="69"/>
        <v>1.0017599636652663</v>
      </c>
      <c r="AL46" s="72">
        <f t="shared" si="69"/>
        <v>0.99752904505525641</v>
      </c>
      <c r="AM46" s="72">
        <f t="shared" si="69"/>
        <v>1.287306691513175</v>
      </c>
      <c r="AN46" s="72">
        <f t="shared" si="69"/>
        <v>0.99713572008614904</v>
      </c>
      <c r="AO46" s="72">
        <f t="shared" si="69"/>
        <v>1.0105826897116428</v>
      </c>
      <c r="AP46" s="72">
        <f t="shared" si="69"/>
        <v>0.97734817760570414</v>
      </c>
      <c r="AQ46" s="72">
        <f t="shared" si="69"/>
        <v>1.0002554289862606</v>
      </c>
      <c r="AR46" s="72">
        <f t="shared" si="69"/>
        <v>0.96732239898571304</v>
      </c>
      <c r="AS46" s="72">
        <f t="shared" si="69"/>
        <v>1.0393114020665348</v>
      </c>
      <c r="AT46" s="72">
        <f t="shared" si="69"/>
        <v>1.0200485728927609</v>
      </c>
      <c r="AU46" s="72">
        <f t="shared" si="69"/>
        <v>1.0010965295495056</v>
      </c>
      <c r="AV46" s="72">
        <f t="shared" si="69"/>
        <v>1.0031419781370687</v>
      </c>
      <c r="AW46" s="72">
        <f>+AW21/AV21</f>
        <v>0.99424034801522565</v>
      </c>
      <c r="AX46" s="72">
        <f t="shared" si="70"/>
        <v>1.0337211388267826</v>
      </c>
      <c r="AY46" s="72">
        <f t="shared" si="70"/>
        <v>1.023757925657544</v>
      </c>
      <c r="AZ46" s="72">
        <f t="shared" si="70"/>
        <v>1.0037127228977429</v>
      </c>
      <c r="BA46" s="72">
        <f t="shared" si="70"/>
        <v>1.0004283907747695</v>
      </c>
      <c r="BB46" s="72">
        <f t="shared" si="70"/>
        <v>0.452652209179283</v>
      </c>
      <c r="BC46" s="72">
        <f t="shared" si="70"/>
        <v>0.99054913268508327</v>
      </c>
      <c r="BD46" s="72">
        <f t="shared" si="70"/>
        <v>1.0024977501882495</v>
      </c>
      <c r="BE46" s="72">
        <f t="shared" si="70"/>
        <v>1.0527983878354858</v>
      </c>
      <c r="BF46" s="72">
        <f t="shared" si="70"/>
        <v>1.004550437642473</v>
      </c>
      <c r="BG46" s="72">
        <f t="shared" si="70"/>
        <v>0.99909923174861637</v>
      </c>
      <c r="BH46" s="72">
        <f t="shared" si="70"/>
        <v>1.0073340095186081</v>
      </c>
      <c r="BI46" s="72">
        <f t="shared" si="70"/>
        <v>1.0131584609161868</v>
      </c>
      <c r="BJ46" s="72">
        <f t="shared" si="70"/>
        <v>1.0091312177222072</v>
      </c>
      <c r="BK46" s="72">
        <f t="shared" si="70"/>
        <v>1.0214556871459475</v>
      </c>
      <c r="BL46" s="72">
        <f t="shared" si="70"/>
        <v>1.0007086821807634</v>
      </c>
      <c r="BM46" s="72">
        <f t="shared" si="70"/>
        <v>1.0145835735107627</v>
      </c>
      <c r="BN46" s="72">
        <f t="shared" si="70"/>
        <v>1.0250225227053218</v>
      </c>
      <c r="BO46" s="72">
        <f t="shared" si="70"/>
        <v>1</v>
      </c>
      <c r="BP46" s="72">
        <f t="shared" si="70"/>
        <v>0.98116270230893488</v>
      </c>
      <c r="BQ46" s="72">
        <f>+BQ21/BP21</f>
        <v>1.0096357928546642</v>
      </c>
      <c r="BR46" s="72">
        <f t="shared" si="71"/>
        <v>1.0046040589255598</v>
      </c>
      <c r="BS46" s="72">
        <f t="shared" si="71"/>
        <v>1.0008752178098868</v>
      </c>
      <c r="BT46" s="72">
        <f t="shared" si="71"/>
        <v>1.0788994618142504</v>
      </c>
      <c r="BU46" s="72">
        <f t="shared" si="71"/>
        <v>1.0922943161555578</v>
      </c>
      <c r="BV46" s="72">
        <f t="shared" si="71"/>
        <v>1.0088637651439518</v>
      </c>
      <c r="BW46" s="72">
        <f t="shared" si="71"/>
        <v>0.95536179943567046</v>
      </c>
      <c r="BX46" s="72">
        <f t="shared" si="71"/>
        <v>0.89375848602343189</v>
      </c>
      <c r="BY46" s="72">
        <f t="shared" si="71"/>
        <v>1.1691986029976038</v>
      </c>
      <c r="BZ46" s="72">
        <f t="shared" si="71"/>
        <v>1.021994655379113</v>
      </c>
      <c r="CA46" s="72">
        <f t="shared" si="71"/>
        <v>1.0093058003971349</v>
      </c>
      <c r="CB46" s="72">
        <f t="shared" si="71"/>
        <v>1.0032140144013817</v>
      </c>
      <c r="CC46" s="72">
        <f t="shared" si="72"/>
        <v>1.0088086053796568</v>
      </c>
      <c r="CD46" s="72">
        <f t="shared" si="73"/>
        <v>0.99511769498745739</v>
      </c>
      <c r="CE46" s="72">
        <f t="shared" si="74"/>
        <v>1.0095675271423783</v>
      </c>
      <c r="CF46" s="72">
        <f t="shared" si="75"/>
        <v>1.0037932972310208</v>
      </c>
      <c r="CG46" s="72">
        <f t="shared" si="75"/>
        <v>0.99701627371394397</v>
      </c>
      <c r="CH46" s="72">
        <f t="shared" si="75"/>
        <v>1.0086333965045273</v>
      </c>
      <c r="CI46" s="72">
        <f t="shared" si="75"/>
        <v>1.0041184285443159</v>
      </c>
      <c r="CJ46" s="72">
        <f t="shared" si="75"/>
        <v>1.0061995577144802</v>
      </c>
      <c r="CK46" s="72">
        <f t="shared" si="75"/>
        <v>1.0050718512256973</v>
      </c>
      <c r="CL46" s="72">
        <f t="shared" si="75"/>
        <v>0.99677911721645951</v>
      </c>
      <c r="CM46" s="72">
        <f t="shared" si="75"/>
        <v>0.99851873148414361</v>
      </c>
      <c r="CN46" s="72">
        <f t="shared" si="75"/>
        <v>1.0040685774375473</v>
      </c>
      <c r="CO46" s="72">
        <f t="shared" si="75"/>
        <v>0.97632331947310347</v>
      </c>
      <c r="CP46" s="72">
        <f t="shared" si="75"/>
        <v>0.99819299802698369</v>
      </c>
      <c r="CQ46" s="72">
        <f t="shared" si="75"/>
        <v>1.0019637945371969</v>
      </c>
      <c r="CR46" s="72">
        <f t="shared" si="75"/>
        <v>1.0109680343724663</v>
      </c>
      <c r="CS46" s="72">
        <f t="shared" si="75"/>
        <v>1.0100786208203087</v>
      </c>
      <c r="CT46" s="72">
        <f t="shared" si="75"/>
        <v>1.0051203180974173</v>
      </c>
      <c r="CU46" s="72">
        <f t="shared" si="75"/>
        <v>1.0165951359084406</v>
      </c>
      <c r="CV46" s="72">
        <f t="shared" si="76"/>
        <v>1.0153269129578189</v>
      </c>
      <c r="CW46" s="72">
        <f t="shared" si="77"/>
        <v>1.0043087084119247</v>
      </c>
      <c r="CX46" s="72">
        <f t="shared" si="77"/>
        <v>1.0079564137335142</v>
      </c>
      <c r="CY46" s="72">
        <f t="shared" si="77"/>
        <v>1.0109355652919325</v>
      </c>
      <c r="CZ46" s="72">
        <f t="shared" si="77"/>
        <v>1.0160345304762073</v>
      </c>
      <c r="DA46" s="72">
        <f t="shared" si="77"/>
        <v>0.98724962908011871</v>
      </c>
      <c r="DB46" s="72">
        <f t="shared" si="77"/>
        <v>0.99439369745925887</v>
      </c>
      <c r="DC46" s="72">
        <f t="shared" si="77"/>
        <v>1.0104729350784289</v>
      </c>
      <c r="DD46" s="72">
        <f t="shared" si="77"/>
        <v>1.0129467232988438</v>
      </c>
      <c r="DE46" s="72">
        <f t="shared" si="77"/>
        <v>1.0114892807087363</v>
      </c>
      <c r="DF46" s="72">
        <f t="shared" si="77"/>
        <v>1.0121969995039088</v>
      </c>
      <c r="DG46" s="72">
        <f t="shared" si="77"/>
        <v>1.0205791223029688</v>
      </c>
      <c r="DH46" s="72">
        <f t="shared" si="77"/>
        <v>1.0119064047294426</v>
      </c>
      <c r="DI46" s="72">
        <f t="shared" si="77"/>
        <v>1.0118426794675976</v>
      </c>
      <c r="DJ46" s="72">
        <f t="shared" si="77"/>
        <v>1.0102053468901455</v>
      </c>
      <c r="DK46" s="72">
        <f t="shared" si="77"/>
        <v>1.017274687273193</v>
      </c>
      <c r="DL46" s="72">
        <f t="shared" si="77"/>
        <v>1.0148934272719166</v>
      </c>
      <c r="DM46" s="72">
        <f t="shared" si="77"/>
        <v>0.98156208001654088</v>
      </c>
      <c r="DN46" s="72">
        <f t="shared" si="78"/>
        <v>1.0107218275555181</v>
      </c>
      <c r="DO46" s="72">
        <f t="shared" si="79"/>
        <v>1.0121346956426596</v>
      </c>
      <c r="DP46" s="72">
        <f t="shared" si="79"/>
        <v>1.0087255093741314</v>
      </c>
      <c r="DQ46" s="72">
        <f t="shared" si="79"/>
        <v>1.0062412925548474</v>
      </c>
      <c r="DR46" s="72">
        <f t="shared" si="79"/>
        <v>1.0030277518562096</v>
      </c>
      <c r="DS46" s="72">
        <f t="shared" si="79"/>
        <v>1.0059967740793738</v>
      </c>
      <c r="DT46" s="112">
        <f t="shared" si="34"/>
        <v>8.8133670221184346E-3</v>
      </c>
      <c r="DU46" s="58"/>
    </row>
    <row r="47" spans="1:127" s="43" customFormat="1" x14ac:dyDescent="0.3">
      <c r="C47" s="44"/>
      <c r="D47" s="41"/>
      <c r="E47" s="41"/>
      <c r="F47" s="41"/>
      <c r="G47" s="41"/>
      <c r="H47" s="41"/>
      <c r="I47" s="41"/>
      <c r="J47" s="41"/>
      <c r="K47" s="41"/>
      <c r="L47" s="41"/>
      <c r="M47" s="41"/>
      <c r="N47" s="41"/>
      <c r="O47" s="41"/>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61"/>
    </row>
    <row r="48" spans="1:127" s="43" customFormat="1" x14ac:dyDescent="0.3">
      <c r="D48" s="46"/>
      <c r="E48" s="46"/>
      <c r="F48" s="46"/>
      <c r="G48" s="46"/>
      <c r="H48" s="46"/>
      <c r="I48" s="46"/>
      <c r="J48" s="46"/>
      <c r="K48" s="46"/>
      <c r="L48" s="46"/>
      <c r="M48" s="46"/>
      <c r="N48" s="46"/>
      <c r="O48" s="46"/>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5"/>
    </row>
    <row r="49" spans="2:124" s="59" customFormat="1" x14ac:dyDescent="0.3">
      <c r="B49" s="74" t="s">
        <v>42</v>
      </c>
      <c r="C49" s="74"/>
      <c r="D49" s="75"/>
      <c r="E49" s="75"/>
      <c r="F49" s="75"/>
      <c r="G49" s="75"/>
      <c r="H49" s="75"/>
      <c r="I49" s="75"/>
      <c r="J49" s="75"/>
      <c r="K49" s="75"/>
      <c r="L49" s="75"/>
      <c r="M49" s="75"/>
      <c r="N49" s="75"/>
      <c r="O49" s="74"/>
      <c r="P49" s="76">
        <f t="shared" ref="P49:BP49" si="80">P11/D11</f>
        <v>1.366652095662523</v>
      </c>
      <c r="Q49" s="76">
        <f t="shared" si="80"/>
        <v>1.3683991153444295</v>
      </c>
      <c r="R49" s="76">
        <f t="shared" si="80"/>
        <v>1.3743036170270695</v>
      </c>
      <c r="S49" s="76">
        <f t="shared" si="80"/>
        <v>1.195758680128058</v>
      </c>
      <c r="T49" s="76">
        <f t="shared" si="80"/>
        <v>1.2268006832381577</v>
      </c>
      <c r="U49" s="76">
        <f t="shared" si="80"/>
        <v>1.1983777567215945</v>
      </c>
      <c r="V49" s="76">
        <f t="shared" si="80"/>
        <v>1.4012359256004021</v>
      </c>
      <c r="W49" s="76">
        <f t="shared" si="80"/>
        <v>1.3697322449676688</v>
      </c>
      <c r="X49" s="76">
        <f t="shared" si="80"/>
        <v>1.376090408823663</v>
      </c>
      <c r="Y49" s="76">
        <f t="shared" si="80"/>
        <v>1.4148476790754221</v>
      </c>
      <c r="Z49" s="76">
        <f t="shared" si="80"/>
        <v>1.3818243434724764</v>
      </c>
      <c r="AA49" s="76">
        <f t="shared" si="80"/>
        <v>1.3876432160528831</v>
      </c>
      <c r="AB49" s="76">
        <f t="shared" si="80"/>
        <v>1.4142224397260004</v>
      </c>
      <c r="AC49" s="76">
        <f t="shared" si="80"/>
        <v>1.4069495485791141</v>
      </c>
      <c r="AD49" s="76">
        <f t="shared" si="80"/>
        <v>1.3998933633051134</v>
      </c>
      <c r="AE49" s="76">
        <f t="shared" si="80"/>
        <v>1.6060904497943136</v>
      </c>
      <c r="AF49" s="76">
        <f t="shared" si="80"/>
        <v>1.5635819181384418</v>
      </c>
      <c r="AG49" s="76">
        <f t="shared" si="80"/>
        <v>1.5992095759940281</v>
      </c>
      <c r="AH49" s="76">
        <f t="shared" si="80"/>
        <v>1.367487568302667</v>
      </c>
      <c r="AI49" s="76">
        <f t="shared" si="80"/>
        <v>1.4005311892367081</v>
      </c>
      <c r="AJ49" s="76">
        <f t="shared" si="80"/>
        <v>1.3917323592766446</v>
      </c>
      <c r="AK49" s="76">
        <f t="shared" si="80"/>
        <v>1.3478996895306476</v>
      </c>
      <c r="AL49" s="76">
        <f t="shared" si="80"/>
        <v>1.3774830754695975</v>
      </c>
      <c r="AM49" s="76">
        <f t="shared" si="80"/>
        <v>1.3688297953238198</v>
      </c>
      <c r="AN49" s="76">
        <f t="shared" si="80"/>
        <v>1.3286192738226872</v>
      </c>
      <c r="AO49" s="76">
        <f t="shared" si="80"/>
        <v>1.3189512809184873</v>
      </c>
      <c r="AP49" s="76">
        <f t="shared" si="80"/>
        <v>1.3092450236885733</v>
      </c>
      <c r="AQ49" s="76">
        <f t="shared" si="80"/>
        <v>1.3030965958496445</v>
      </c>
      <c r="AR49" s="76">
        <f t="shared" si="80"/>
        <v>1.2968938116218331</v>
      </c>
      <c r="AS49" s="76">
        <f t="shared" si="80"/>
        <v>1.2919832501590367</v>
      </c>
      <c r="AT49" s="76">
        <f t="shared" si="80"/>
        <v>1.2863365395299236</v>
      </c>
      <c r="AU49" s="76">
        <f t="shared" si="80"/>
        <v>1.49732016248008</v>
      </c>
      <c r="AV49" s="76">
        <f t="shared" si="80"/>
        <v>1.4981877516127291</v>
      </c>
      <c r="AW49" s="76">
        <f t="shared" si="80"/>
        <v>1.4950851247730828</v>
      </c>
      <c r="AX49" s="76">
        <f t="shared" si="80"/>
        <v>1.4875219824259489</v>
      </c>
      <c r="AY49" s="76">
        <f t="shared" si="80"/>
        <v>1.4813561318710515</v>
      </c>
      <c r="AZ49" s="76">
        <f t="shared" si="80"/>
        <v>1.4266560879095402</v>
      </c>
      <c r="BA49" s="76">
        <f t="shared" si="80"/>
        <v>1.4149089867466718</v>
      </c>
      <c r="BB49" s="76">
        <f t="shared" si="80"/>
        <v>1.6618797935686915</v>
      </c>
      <c r="BC49" s="76">
        <f t="shared" si="80"/>
        <v>1.6474771087668574</v>
      </c>
      <c r="BD49" s="76">
        <f t="shared" si="80"/>
        <v>1.6293717822552301</v>
      </c>
      <c r="BE49" s="76">
        <f t="shared" si="80"/>
        <v>1.6126801850473844</v>
      </c>
      <c r="BF49" s="76">
        <f t="shared" si="80"/>
        <v>1.5997500786531496</v>
      </c>
      <c r="BG49" s="76">
        <f t="shared" si="80"/>
        <v>1.3533843638144911</v>
      </c>
      <c r="BH49" s="76">
        <f t="shared" si="80"/>
        <v>1.3409355786165071</v>
      </c>
      <c r="BI49" s="76">
        <f t="shared" si="80"/>
        <v>1.3311731234461268</v>
      </c>
      <c r="BJ49" s="76">
        <f t="shared" si="80"/>
        <v>1.3256836524608311</v>
      </c>
      <c r="BK49" s="76">
        <f t="shared" si="80"/>
        <v>1.3197007406782513</v>
      </c>
      <c r="BL49" s="76">
        <f t="shared" si="80"/>
        <v>1.3651613853117548</v>
      </c>
      <c r="BM49" s="76">
        <f t="shared" si="80"/>
        <v>1.349152993698471</v>
      </c>
      <c r="BN49" s="76">
        <f t="shared" si="80"/>
        <v>1.1645699514021612</v>
      </c>
      <c r="BO49" s="76">
        <f t="shared" si="80"/>
        <v>1.1704969197006443</v>
      </c>
      <c r="BP49" s="76">
        <f t="shared" si="80"/>
        <v>1.1790934319439614</v>
      </c>
      <c r="BQ49" s="76">
        <f>BQ11/BE11</f>
        <v>1.1853340581208387</v>
      </c>
      <c r="BR49" s="76">
        <f t="shared" ref="BR49:CB49" si="81">BR11/BF11</f>
        <v>1.1914677759487977</v>
      </c>
      <c r="BS49" s="76">
        <f t="shared" si="81"/>
        <v>1.1989636498543512</v>
      </c>
      <c r="BT49" s="76">
        <f t="shared" si="81"/>
        <v>1.202110956318384</v>
      </c>
      <c r="BU49" s="76">
        <f t="shared" si="81"/>
        <v>1.2052302913148627</v>
      </c>
      <c r="BV49" s="76">
        <f t="shared" si="81"/>
        <v>1.1912234466999854</v>
      </c>
      <c r="BW49" s="76">
        <f t="shared" si="81"/>
        <v>1.178069327587099</v>
      </c>
      <c r="BX49" s="76">
        <f t="shared" si="81"/>
        <v>1.1600092469921808</v>
      </c>
      <c r="BY49" s="76">
        <f t="shared" si="81"/>
        <v>1.1784906509249833</v>
      </c>
      <c r="BZ49" s="76">
        <f t="shared" si="81"/>
        <v>1.1772222830544299</v>
      </c>
      <c r="CA49" s="76">
        <f t="shared" si="81"/>
        <v>1.1587564807720279</v>
      </c>
      <c r="CB49" s="76">
        <f t="shared" si="81"/>
        <v>1.1579612179682999</v>
      </c>
      <c r="CC49" s="76">
        <f t="shared" ref="CC49" si="82">CC11/BQ11</f>
        <v>1.1590182729467975</v>
      </c>
      <c r="CD49" s="76">
        <f t="shared" ref="CD49" si="83">CD11/BR11</f>
        <v>1.1584727462537234</v>
      </c>
      <c r="CE49" s="76">
        <f t="shared" ref="CE49" si="84">CE11/BS11</f>
        <v>1.1585394814748442</v>
      </c>
      <c r="CF49" s="76">
        <f t="shared" ref="CF49:CH49" si="85">CF11/BT11</f>
        <v>1.1577268967968546</v>
      </c>
      <c r="CG49" s="76">
        <f t="shared" si="85"/>
        <v>1.1577260203684041</v>
      </c>
      <c r="CH49" s="76">
        <f t="shared" si="85"/>
        <v>1.1754514277694506</v>
      </c>
      <c r="CI49" s="76">
        <f t="shared" ref="CI49:CQ49" si="86">CI11/BW11</f>
        <v>1.2214914945676592</v>
      </c>
      <c r="CJ49" s="76">
        <f t="shared" si="86"/>
        <v>1.2203728248475896</v>
      </c>
      <c r="CK49" s="76">
        <f t="shared" si="86"/>
        <v>1.2195514862319186</v>
      </c>
      <c r="CL49" s="76">
        <f t="shared" si="86"/>
        <v>1.2170915783524092</v>
      </c>
      <c r="CM49" s="76">
        <f t="shared" si="86"/>
        <v>1.2176111729361117</v>
      </c>
      <c r="CN49" s="76">
        <f t="shared" si="86"/>
        <v>1.198477160990763</v>
      </c>
      <c r="CO49" s="76">
        <f t="shared" si="86"/>
        <v>1.1798464547208176</v>
      </c>
      <c r="CP49" s="76">
        <f t="shared" si="86"/>
        <v>1.2140715328486889</v>
      </c>
      <c r="CQ49" s="76">
        <f t="shared" si="86"/>
        <v>1.2251163634917508</v>
      </c>
      <c r="CR49" s="76">
        <f t="shared" ref="CR49" si="87">CR11/CF11</f>
        <v>1.2083153937756901</v>
      </c>
      <c r="CS49" s="76">
        <f t="shared" ref="CS49" si="88">CS11/CG11</f>
        <v>1.2204872648730867</v>
      </c>
      <c r="CT49" s="76">
        <f t="shared" ref="CT49:CU49" si="89">CT11/CH11</f>
        <v>1.2197500534037067</v>
      </c>
      <c r="CU49" s="76">
        <f t="shared" si="89"/>
        <v>1.1896541338217834</v>
      </c>
      <c r="CV49" s="76">
        <f t="shared" ref="CV49" si="90">CV11/CJ11</f>
        <v>1.2046391827473129</v>
      </c>
      <c r="CW49" s="76">
        <f t="shared" ref="CW49:DD49" si="91">CW11/CK11</f>
        <v>1.1865462831666875</v>
      </c>
      <c r="CX49" s="76">
        <f t="shared" si="91"/>
        <v>1.1534255879626774</v>
      </c>
      <c r="CY49" s="76">
        <f t="shared" si="91"/>
        <v>1.2046871869188733</v>
      </c>
      <c r="CZ49" s="76">
        <f t="shared" si="91"/>
        <v>1.2233274559960556</v>
      </c>
      <c r="DA49" s="76">
        <f t="shared" si="91"/>
        <v>1.2567796518350636</v>
      </c>
      <c r="DB49" s="76">
        <f t="shared" si="91"/>
        <v>1.2047341327401209</v>
      </c>
      <c r="DC49" s="76">
        <f t="shared" si="91"/>
        <v>1.2105971558412429</v>
      </c>
      <c r="DD49" s="76">
        <f t="shared" si="91"/>
        <v>1.2261794469859286</v>
      </c>
      <c r="DE49" s="76">
        <f t="shared" ref="DE49:DM49" si="92">DE11/CS11</f>
        <v>1.1952083032200618</v>
      </c>
      <c r="DF49" s="76">
        <f t="shared" si="92"/>
        <v>1.2118216305884346</v>
      </c>
      <c r="DG49" s="76">
        <f t="shared" si="92"/>
        <v>1.2326341343291265</v>
      </c>
      <c r="DH49" s="76">
        <f t="shared" si="92"/>
        <v>1.2301198993072167</v>
      </c>
      <c r="DI49" s="76">
        <f t="shared" si="92"/>
        <v>1.2492402621078906</v>
      </c>
      <c r="DJ49" s="76">
        <f t="shared" si="92"/>
        <v>1.2699858933284789</v>
      </c>
      <c r="DK49" s="76">
        <f t="shared" si="92"/>
        <v>1.2317371970634523</v>
      </c>
      <c r="DL49" s="76">
        <f t="shared" si="92"/>
        <v>1.2228479211584027</v>
      </c>
      <c r="DM49" s="76">
        <f t="shared" si="92"/>
        <v>1.2108786414653228</v>
      </c>
      <c r="DN49" s="76">
        <f t="shared" ref="DN49" si="93">DN11/DB11</f>
        <v>1.2306573074279363</v>
      </c>
      <c r="DO49" s="76">
        <f t="shared" ref="DO49:DS49" si="94">DO11/DC11</f>
        <v>1.2093035805118264</v>
      </c>
      <c r="DP49" s="76">
        <f t="shared" si="94"/>
        <v>1.2100780431197844</v>
      </c>
      <c r="DQ49" s="76">
        <f t="shared" si="94"/>
        <v>1.2319870883775041</v>
      </c>
      <c r="DR49" s="76">
        <f t="shared" si="94"/>
        <v>1.2143624524002681</v>
      </c>
      <c r="DS49" s="76">
        <f t="shared" si="94"/>
        <v>1.2125360445222018</v>
      </c>
      <c r="DT49" s="112">
        <f>+GEOMEAN(DG49:DS49)-1</f>
        <v>0.22729849635380428</v>
      </c>
    </row>
    <row r="50" spans="2:124" s="59" customFormat="1" x14ac:dyDescent="0.3">
      <c r="B50" s="75" t="s">
        <v>26</v>
      </c>
      <c r="C50" s="74"/>
      <c r="D50" s="75"/>
      <c r="E50" s="75"/>
      <c r="F50" s="75"/>
      <c r="G50" s="75"/>
      <c r="H50" s="75"/>
      <c r="I50" s="75"/>
      <c r="J50" s="75"/>
      <c r="K50" s="75"/>
      <c r="L50" s="75"/>
      <c r="M50" s="75"/>
      <c r="N50" s="75"/>
      <c r="O50" s="74"/>
      <c r="P50" s="76">
        <f t="shared" ref="P50:BP50" si="95">P13/D13</f>
        <v>1.2080125921676068</v>
      </c>
      <c r="Q50" s="76">
        <f t="shared" si="95"/>
        <v>1.6100921599939564</v>
      </c>
      <c r="R50" s="76">
        <f t="shared" si="95"/>
        <v>1.5836770470752259</v>
      </c>
      <c r="S50" s="76">
        <f t="shared" si="95"/>
        <v>1.590363764508691</v>
      </c>
      <c r="T50" s="76">
        <f t="shared" si="95"/>
        <v>1.5952809172054014</v>
      </c>
      <c r="U50" s="76">
        <f t="shared" si="95"/>
        <v>1.5853397723142921</v>
      </c>
      <c r="V50" s="76">
        <f t="shared" si="95"/>
        <v>1.5865762968591832</v>
      </c>
      <c r="W50" s="76">
        <f t="shared" si="95"/>
        <v>1.5737324147899467</v>
      </c>
      <c r="X50" s="76">
        <f t="shared" si="95"/>
        <v>1.5744288882091555</v>
      </c>
      <c r="Y50" s="76">
        <f t="shared" si="95"/>
        <v>1.5821159547441326</v>
      </c>
      <c r="Z50" s="76">
        <f t="shared" si="95"/>
        <v>1.5693894219457882</v>
      </c>
      <c r="AA50" s="76">
        <f t="shared" si="95"/>
        <v>1.5608543223852622</v>
      </c>
      <c r="AB50" s="76">
        <f t="shared" si="95"/>
        <v>1.5488904555376768</v>
      </c>
      <c r="AC50" s="76">
        <f t="shared" si="95"/>
        <v>1.1491113491460614</v>
      </c>
      <c r="AD50" s="76">
        <f t="shared" si="95"/>
        <v>1.1647377530436247</v>
      </c>
      <c r="AE50" s="76">
        <f t="shared" si="95"/>
        <v>1.1391803761305113</v>
      </c>
      <c r="AF50" s="76">
        <f t="shared" si="95"/>
        <v>1.1564211992567623</v>
      </c>
      <c r="AG50" s="76">
        <f t="shared" si="95"/>
        <v>1.1710833706797381</v>
      </c>
      <c r="AH50" s="76">
        <f t="shared" si="95"/>
        <v>1.1606322875800583</v>
      </c>
      <c r="AI50" s="76">
        <f t="shared" si="95"/>
        <v>1.1414357764768905</v>
      </c>
      <c r="AJ50" s="76">
        <f t="shared" si="95"/>
        <v>1.1310993124286133</v>
      </c>
      <c r="AK50" s="76">
        <f t="shared" si="95"/>
        <v>1.1150608997937705</v>
      </c>
      <c r="AL50" s="76">
        <f t="shared" si="95"/>
        <v>1.0967626448061145</v>
      </c>
      <c r="AM50" s="76">
        <f t="shared" si="95"/>
        <v>1.0756153584922108</v>
      </c>
      <c r="AN50" s="76">
        <f t="shared" si="95"/>
        <v>1.0757852843819298</v>
      </c>
      <c r="AO50" s="76">
        <f t="shared" si="95"/>
        <v>1.0843322586570332</v>
      </c>
      <c r="AP50" s="76">
        <f t="shared" si="95"/>
        <v>1.0808431596300081</v>
      </c>
      <c r="AQ50" s="76">
        <f t="shared" si="95"/>
        <v>1.0732569776663681</v>
      </c>
      <c r="AR50" s="76">
        <f t="shared" si="95"/>
        <v>1.0402574451909461</v>
      </c>
      <c r="AS50" s="76">
        <f t="shared" si="95"/>
        <v>1.0309199013705563</v>
      </c>
      <c r="AT50" s="76">
        <f t="shared" si="95"/>
        <v>1.1467676857384956</v>
      </c>
      <c r="AU50" s="76">
        <f t="shared" si="95"/>
        <v>1.2142267929430111</v>
      </c>
      <c r="AV50" s="76">
        <f t="shared" si="95"/>
        <v>1.2290198499988283</v>
      </c>
      <c r="AW50" s="76">
        <f t="shared" si="95"/>
        <v>1.2954035816468681</v>
      </c>
      <c r="AX50" s="76">
        <f t="shared" si="95"/>
        <v>1.3154681179650229</v>
      </c>
      <c r="AY50" s="76">
        <f t="shared" si="95"/>
        <v>1.3349605830241844</v>
      </c>
      <c r="AZ50" s="76">
        <f t="shared" si="95"/>
        <v>1.3466303387831757</v>
      </c>
      <c r="BA50" s="76">
        <f t="shared" si="95"/>
        <v>1.3302755763880156</v>
      </c>
      <c r="BB50" s="76">
        <f t="shared" si="95"/>
        <v>1.3571908309535303</v>
      </c>
      <c r="BC50" s="76">
        <f t="shared" si="95"/>
        <v>1.3800257751588831</v>
      </c>
      <c r="BD50" s="76">
        <f t="shared" si="95"/>
        <v>1.387973200271363</v>
      </c>
      <c r="BE50" s="76">
        <f t="shared" si="95"/>
        <v>1.4449472008160733</v>
      </c>
      <c r="BF50" s="76">
        <f t="shared" si="95"/>
        <v>1.3158680225322656</v>
      </c>
      <c r="BG50" s="76">
        <f t="shared" si="95"/>
        <v>1.2573690461731892</v>
      </c>
      <c r="BH50" s="76">
        <f t="shared" si="95"/>
        <v>1.2569770390623241</v>
      </c>
      <c r="BI50" s="76">
        <f t="shared" si="95"/>
        <v>1.2079708862876499</v>
      </c>
      <c r="BJ50" s="76">
        <f t="shared" si="95"/>
        <v>1.2055771090812373</v>
      </c>
      <c r="BK50" s="76">
        <f t="shared" si="95"/>
        <v>1.2053071767068877</v>
      </c>
      <c r="BL50" s="76">
        <f t="shared" si="95"/>
        <v>1.192165929830171</v>
      </c>
      <c r="BM50" s="76">
        <f t="shared" si="95"/>
        <v>1.2087774004061578</v>
      </c>
      <c r="BN50" s="76">
        <f t="shared" si="95"/>
        <v>1.2008929807494246</v>
      </c>
      <c r="BO50" s="76">
        <f t="shared" si="95"/>
        <v>1.1809488808175466</v>
      </c>
      <c r="BP50" s="76">
        <f t="shared" si="95"/>
        <v>1.2134885707199852</v>
      </c>
      <c r="BQ50" s="76">
        <f>BQ13/BE13</f>
        <v>1.1667640690172829</v>
      </c>
      <c r="BR50" s="76">
        <f t="shared" ref="BR50:CB50" si="96">BR13/BF13</f>
        <v>1.1606103593228125</v>
      </c>
      <c r="BS50" s="76">
        <f t="shared" si="96"/>
        <v>1.1571456511685647</v>
      </c>
      <c r="BT50" s="76">
        <f t="shared" si="96"/>
        <v>1.1548442289728718</v>
      </c>
      <c r="BU50" s="76">
        <f t="shared" si="96"/>
        <v>1.1574479448573025</v>
      </c>
      <c r="BV50" s="76">
        <f t="shared" si="96"/>
        <v>1.1551260724525101</v>
      </c>
      <c r="BW50" s="76">
        <f t="shared" si="96"/>
        <v>1.144417982893702</v>
      </c>
      <c r="BX50" s="76">
        <f t="shared" si="96"/>
        <v>1.1542343825382426</v>
      </c>
      <c r="BY50" s="76">
        <f t="shared" si="96"/>
        <v>1.148852164414226</v>
      </c>
      <c r="BZ50" s="76">
        <f t="shared" si="96"/>
        <v>1.1308165018678353</v>
      </c>
      <c r="CA50" s="76">
        <f t="shared" si="96"/>
        <v>1.1453896165642223</v>
      </c>
      <c r="CB50" s="76">
        <f t="shared" si="96"/>
        <v>1.1138705727876022</v>
      </c>
      <c r="CC50" s="76">
        <f t="shared" ref="CC50" si="97">CC13/BQ13</f>
        <v>1.1149532494169094</v>
      </c>
      <c r="CD50" s="76">
        <f t="shared" ref="CD50" si="98">CD13/BR13</f>
        <v>1.1195963474821737</v>
      </c>
      <c r="CE50" s="76">
        <f t="shared" ref="CE50" si="99">CE13/BS13</f>
        <v>1.1355283280352917</v>
      </c>
      <c r="CF50" s="76">
        <f t="shared" ref="CF50:CQ50" si="100">CF13/BT13</f>
        <v>1.1350628841475576</v>
      </c>
      <c r="CG50" s="76">
        <f t="shared" si="100"/>
        <v>1.1326422785821793</v>
      </c>
      <c r="CH50" s="76">
        <f t="shared" si="100"/>
        <v>1.1424444685849899</v>
      </c>
      <c r="CI50" s="76">
        <f t="shared" si="100"/>
        <v>1.1504142269316759</v>
      </c>
      <c r="CJ50" s="76">
        <f t="shared" si="100"/>
        <v>1.1532275616245702</v>
      </c>
      <c r="CK50" s="76">
        <f t="shared" si="100"/>
        <v>1.1520868497722372</v>
      </c>
      <c r="CL50" s="76">
        <f t="shared" si="100"/>
        <v>1.1340047427619524</v>
      </c>
      <c r="CM50" s="76">
        <f t="shared" si="100"/>
        <v>1.1189342767687305</v>
      </c>
      <c r="CN50" s="76">
        <f t="shared" si="100"/>
        <v>1.1092377978832684</v>
      </c>
      <c r="CO50" s="76">
        <f t="shared" si="100"/>
        <v>1.1034991250748178</v>
      </c>
      <c r="CP50" s="76">
        <f t="shared" si="100"/>
        <v>1.1010075812326656</v>
      </c>
      <c r="CQ50" s="76">
        <f t="shared" si="100"/>
        <v>1.0969620853806776</v>
      </c>
      <c r="CR50" s="76">
        <f t="shared" ref="CR50" si="101">CR13/CF13</f>
        <v>1.1081898020295144</v>
      </c>
      <c r="CS50" s="76">
        <f t="shared" ref="CS50" si="102">CS13/CG13</f>
        <v>1.1188734272776484</v>
      </c>
      <c r="CT50" s="76">
        <f t="shared" ref="CT50:CU50" si="103">CT13/CH13</f>
        <v>1.1191229467835286</v>
      </c>
      <c r="CU50" s="76">
        <f t="shared" si="103"/>
        <v>1.1388640450857175</v>
      </c>
      <c r="CV50" s="76">
        <f t="shared" ref="CV50" si="104">CV13/CJ13</f>
        <v>1.1435063641027989</v>
      </c>
      <c r="CW50" s="76">
        <f t="shared" ref="CW50:DM50" si="105">CW13/CK13</f>
        <v>1.1470580928253113</v>
      </c>
      <c r="CX50" s="76">
        <f t="shared" si="105"/>
        <v>1.1794192718174283</v>
      </c>
      <c r="CY50" s="76">
        <f t="shared" si="105"/>
        <v>1.1936960190109263</v>
      </c>
      <c r="CZ50" s="76">
        <f t="shared" si="105"/>
        <v>1.2248695373278473</v>
      </c>
      <c r="DA50" s="76">
        <f t="shared" si="105"/>
        <v>1.2374946861005951</v>
      </c>
      <c r="DB50" s="76">
        <f t="shared" si="105"/>
        <v>1.2397732359471747</v>
      </c>
      <c r="DC50" s="76">
        <f t="shared" si="105"/>
        <v>1.2442358709108174</v>
      </c>
      <c r="DD50" s="76">
        <f t="shared" si="105"/>
        <v>1.2435470197236038</v>
      </c>
      <c r="DE50" s="76">
        <f t="shared" si="105"/>
        <v>1.2421210656791568</v>
      </c>
      <c r="DF50" s="76">
        <f t="shared" si="105"/>
        <v>1.2418919653243625</v>
      </c>
      <c r="DG50" s="76">
        <f t="shared" si="105"/>
        <v>1.2342476010615497</v>
      </c>
      <c r="DH50" s="76">
        <f t="shared" si="105"/>
        <v>1.2281878088505007</v>
      </c>
      <c r="DI50" s="76">
        <f t="shared" si="105"/>
        <v>1.2339988300825793</v>
      </c>
      <c r="DJ50" s="76">
        <f t="shared" si="105"/>
        <v>1.2347249853929017</v>
      </c>
      <c r="DK50" s="76">
        <f t="shared" si="105"/>
        <v>1.2429367493954018</v>
      </c>
      <c r="DL50" s="76">
        <f t="shared" si="105"/>
        <v>1.2395132370281514</v>
      </c>
      <c r="DM50" s="76">
        <f t="shared" si="105"/>
        <v>1.2371575316763903</v>
      </c>
      <c r="DN50" s="76">
        <f t="shared" ref="DN50" si="106">DN13/DB13</f>
        <v>1.2329573944030441</v>
      </c>
      <c r="DO50" s="76">
        <f t="shared" ref="DO50:DS50" si="107">DO13/DC13</f>
        <v>1.2243118823444987</v>
      </c>
      <c r="DP50" s="76">
        <f t="shared" si="107"/>
        <v>1.2119247880064778</v>
      </c>
      <c r="DQ50" s="76">
        <f t="shared" si="107"/>
        <v>1.1919672314657694</v>
      </c>
      <c r="DR50" s="76">
        <f t="shared" si="107"/>
        <v>1.1786576500392321</v>
      </c>
      <c r="DS50" s="76">
        <f t="shared" si="107"/>
        <v>1.1530169214555432</v>
      </c>
      <c r="DT50" s="112">
        <f t="shared" ref="DT50:DT56" si="108">+GEOMEAN(DG50:DS50)-1</f>
        <v>0.21844578707409812</v>
      </c>
    </row>
    <row r="51" spans="2:124" s="59" customFormat="1" x14ac:dyDescent="0.3">
      <c r="B51" s="75" t="s">
        <v>25</v>
      </c>
      <c r="C51" s="74"/>
      <c r="D51" s="75"/>
      <c r="E51" s="75"/>
      <c r="F51" s="75"/>
      <c r="G51" s="75"/>
      <c r="H51" s="75"/>
      <c r="I51" s="75"/>
      <c r="J51" s="75"/>
      <c r="K51" s="75"/>
      <c r="L51" s="75"/>
      <c r="M51" s="75"/>
      <c r="N51" s="75"/>
      <c r="O51" s="74"/>
      <c r="P51" s="76">
        <f t="shared" ref="P51:BP51" si="109">P16/D16</f>
        <v>1.1795993078907596</v>
      </c>
      <c r="Q51" s="76">
        <f t="shared" si="109"/>
        <v>1.3059719542843582</v>
      </c>
      <c r="R51" s="76">
        <f t="shared" si="109"/>
        <v>1.2815514440256517</v>
      </c>
      <c r="S51" s="76">
        <f t="shared" si="109"/>
        <v>1.2871477059291871</v>
      </c>
      <c r="T51" s="76">
        <f t="shared" si="109"/>
        <v>1.2718767432232017</v>
      </c>
      <c r="U51" s="76">
        <f t="shared" si="109"/>
        <v>1.2620287227606088</v>
      </c>
      <c r="V51" s="76">
        <f t="shared" si="109"/>
        <v>1.262406294576716</v>
      </c>
      <c r="W51" s="76">
        <f t="shared" si="109"/>
        <v>1.2528127225845254</v>
      </c>
      <c r="X51" s="76">
        <f t="shared" si="109"/>
        <v>1.2525520712520428</v>
      </c>
      <c r="Y51" s="76">
        <f t="shared" si="109"/>
        <v>1.2610504302331575</v>
      </c>
      <c r="Z51" s="76">
        <f t="shared" si="109"/>
        <v>1.2466437178777823</v>
      </c>
      <c r="AA51" s="76">
        <f t="shared" si="109"/>
        <v>1.2439430252502743</v>
      </c>
      <c r="AB51" s="76">
        <f t="shared" si="109"/>
        <v>1.2666287493642445</v>
      </c>
      <c r="AC51" s="76">
        <f t="shared" si="109"/>
        <v>1.1295018487032542</v>
      </c>
      <c r="AD51" s="76">
        <f t="shared" si="109"/>
        <v>1.1533111014288089</v>
      </c>
      <c r="AE51" s="76">
        <f t="shared" si="109"/>
        <v>1.1392183437866024</v>
      </c>
      <c r="AF51" s="76">
        <f t="shared" si="109"/>
        <v>1.1819440074275187</v>
      </c>
      <c r="AG51" s="76">
        <f t="shared" si="109"/>
        <v>1.1995770113738395</v>
      </c>
      <c r="AH51" s="76">
        <f t="shared" si="109"/>
        <v>1.1893922231387215</v>
      </c>
      <c r="AI51" s="76">
        <f t="shared" si="109"/>
        <v>1.1833407175964907</v>
      </c>
      <c r="AJ51" s="76">
        <f t="shared" si="109"/>
        <v>1.1750462547360325</v>
      </c>
      <c r="AK51" s="76">
        <f t="shared" si="109"/>
        <v>1.1557457300850207</v>
      </c>
      <c r="AL51" s="76">
        <f t="shared" si="109"/>
        <v>1.1445114101731566</v>
      </c>
      <c r="AM51" s="76">
        <f t="shared" si="109"/>
        <v>1.0721978642490888</v>
      </c>
      <c r="AN51" s="76">
        <f t="shared" si="109"/>
        <v>1.0466395882984891</v>
      </c>
      <c r="AO51" s="76">
        <f t="shared" si="109"/>
        <v>1.0605157247728643</v>
      </c>
      <c r="AP51" s="76">
        <f t="shared" si="109"/>
        <v>1.035824752366574</v>
      </c>
      <c r="AQ51" s="76">
        <f t="shared" si="109"/>
        <v>1.0157711204596027</v>
      </c>
      <c r="AR51" s="76">
        <f t="shared" si="109"/>
        <v>0.98746865746819867</v>
      </c>
      <c r="AS51" s="76">
        <f t="shared" si="109"/>
        <v>0.97449983088661762</v>
      </c>
      <c r="AT51" s="76">
        <f t="shared" si="109"/>
        <v>1.0995821980304625</v>
      </c>
      <c r="AU51" s="76">
        <f t="shared" si="109"/>
        <v>1.133347865159517</v>
      </c>
      <c r="AV51" s="76">
        <f t="shared" si="109"/>
        <v>1.1407269125976593</v>
      </c>
      <c r="AW51" s="76">
        <f t="shared" si="109"/>
        <v>1.1799990324228642</v>
      </c>
      <c r="AX51" s="76">
        <f t="shared" si="109"/>
        <v>1.1976834095431139</v>
      </c>
      <c r="AY51" s="76">
        <f t="shared" si="109"/>
        <v>1.2657729541599274</v>
      </c>
      <c r="AZ51" s="76">
        <f t="shared" si="109"/>
        <v>1.2762598157728207</v>
      </c>
      <c r="BA51" s="76">
        <f t="shared" si="109"/>
        <v>1.2633887147658727</v>
      </c>
      <c r="BB51" s="76">
        <f t="shared" si="109"/>
        <v>1.4731292045233455</v>
      </c>
      <c r="BC51" s="76">
        <f t="shared" si="109"/>
        <v>1.4969920127249472</v>
      </c>
      <c r="BD51" s="76">
        <f t="shared" si="109"/>
        <v>1.4903685846762986</v>
      </c>
      <c r="BE51" s="76">
        <f t="shared" si="109"/>
        <v>1.5375830211091643</v>
      </c>
      <c r="BF51" s="76">
        <f t="shared" si="109"/>
        <v>1.3726937632482323</v>
      </c>
      <c r="BG51" s="76">
        <f t="shared" si="109"/>
        <v>1.3384134676019066</v>
      </c>
      <c r="BH51" s="76">
        <f t="shared" si="109"/>
        <v>1.3394405281903781</v>
      </c>
      <c r="BI51" s="76">
        <f t="shared" si="109"/>
        <v>1.318043546583975</v>
      </c>
      <c r="BJ51" s="76">
        <f t="shared" si="109"/>
        <v>1.3131475644456703</v>
      </c>
      <c r="BK51" s="76">
        <f t="shared" si="109"/>
        <v>1.3163991714866434</v>
      </c>
      <c r="BL51" s="76">
        <f t="shared" si="109"/>
        <v>1.3097215973238627</v>
      </c>
      <c r="BM51" s="76">
        <f t="shared" si="109"/>
        <v>1.3200984604667474</v>
      </c>
      <c r="BN51" s="76">
        <f t="shared" si="109"/>
        <v>1.1611627575391423</v>
      </c>
      <c r="BO51" s="76">
        <f t="shared" si="109"/>
        <v>1.1443768757342709</v>
      </c>
      <c r="BP51" s="76">
        <f t="shared" si="109"/>
        <v>1.1949696153668206</v>
      </c>
      <c r="BQ51" s="76">
        <f>BQ16/BE16</f>
        <v>1.1647342501390825</v>
      </c>
      <c r="BR51" s="76">
        <f t="shared" ref="BR51:CB51" si="110">BR16/BF16</f>
        <v>1.1661712852763981</v>
      </c>
      <c r="BS51" s="76">
        <f t="shared" si="110"/>
        <v>1.1566718352051557</v>
      </c>
      <c r="BT51" s="76">
        <f t="shared" si="110"/>
        <v>1.1546972826287081</v>
      </c>
      <c r="BU51" s="76">
        <f t="shared" si="110"/>
        <v>1.1513128171669944</v>
      </c>
      <c r="BV51" s="76">
        <f t="shared" si="110"/>
        <v>1.1694404738704745</v>
      </c>
      <c r="BW51" s="76">
        <f t="shared" si="110"/>
        <v>1.1412748797582708</v>
      </c>
      <c r="BX51" s="76">
        <f t="shared" si="110"/>
        <v>1.1463022859540501</v>
      </c>
      <c r="BY51" s="76">
        <f t="shared" si="110"/>
        <v>1.1457065115191964</v>
      </c>
      <c r="BZ51" s="76">
        <f t="shared" si="110"/>
        <v>1.1296210397637156</v>
      </c>
      <c r="CA51" s="76">
        <f t="shared" si="110"/>
        <v>1.1478125048761896</v>
      </c>
      <c r="CB51" s="76">
        <f t="shared" si="110"/>
        <v>1.0961995148365107</v>
      </c>
      <c r="CC51" s="76">
        <f t="shared" ref="CC51" si="111">CC16/BQ16</f>
        <v>1.096505139255523</v>
      </c>
      <c r="CD51" s="76">
        <f t="shared" ref="CD51" si="112">CD16/BR16</f>
        <v>1.1078804781704972</v>
      </c>
      <c r="CE51" s="76">
        <f t="shared" ref="CE51" si="113">CE16/BS16</f>
        <v>1.1206481008599256</v>
      </c>
      <c r="CF51" s="76">
        <f t="shared" ref="CF51:CQ51" si="114">CF16/BT16</f>
        <v>1.1177460976255036</v>
      </c>
      <c r="CG51" s="76">
        <f t="shared" si="114"/>
        <v>1.1178272880468121</v>
      </c>
      <c r="CH51" s="76">
        <f t="shared" si="114"/>
        <v>1.1074598211567861</v>
      </c>
      <c r="CI51" s="76">
        <f t="shared" si="114"/>
        <v>1.1296420947176071</v>
      </c>
      <c r="CJ51" s="76">
        <f t="shared" si="114"/>
        <v>1.1318015399536876</v>
      </c>
      <c r="CK51" s="76">
        <f t="shared" si="114"/>
        <v>1.130167699321466</v>
      </c>
      <c r="CL51" s="76">
        <f t="shared" si="114"/>
        <v>1.1152444275391211</v>
      </c>
      <c r="CM51" s="76">
        <f t="shared" si="114"/>
        <v>1.0965706463607117</v>
      </c>
      <c r="CN51" s="76">
        <f t="shared" si="114"/>
        <v>1.0895082408428922</v>
      </c>
      <c r="CO51" s="76">
        <f t="shared" si="114"/>
        <v>1.0934186999101327</v>
      </c>
      <c r="CP51" s="76">
        <f t="shared" si="114"/>
        <v>1.0817106866966175</v>
      </c>
      <c r="CQ51" s="76">
        <f t="shared" si="114"/>
        <v>1.0794707202907021</v>
      </c>
      <c r="CR51" s="76">
        <f t="shared" ref="CR51" si="115">CR16/CF16</f>
        <v>1.0927600388147864</v>
      </c>
      <c r="CS51" s="76">
        <f t="shared" ref="CS51" si="116">CS16/CG16</f>
        <v>1.0964760668990565</v>
      </c>
      <c r="CT51" s="76">
        <f t="shared" ref="CT51:CU51" si="117">CT16/CH16</f>
        <v>1.0924361371578768</v>
      </c>
      <c r="CU51" s="76">
        <f t="shared" si="117"/>
        <v>1.1043031798186127</v>
      </c>
      <c r="CV51" s="76">
        <f t="shared" ref="CV51" si="118">CV16/CJ16</f>
        <v>1.1011554497809144</v>
      </c>
      <c r="CW51" s="76">
        <f t="shared" ref="CW51:DM51" si="119">CW16/CK16</f>
        <v>1.1006824765495822</v>
      </c>
      <c r="CX51" s="76">
        <f t="shared" si="119"/>
        <v>1.1273675866619524</v>
      </c>
      <c r="CY51" s="76">
        <f t="shared" si="119"/>
        <v>1.1372040287810119</v>
      </c>
      <c r="CZ51" s="76">
        <f t="shared" si="119"/>
        <v>1.1580435735800052</v>
      </c>
      <c r="DA51" s="76">
        <f t="shared" si="119"/>
        <v>1.1619123727744374</v>
      </c>
      <c r="DB51" s="76">
        <f t="shared" si="119"/>
        <v>1.1630243390687658</v>
      </c>
      <c r="DC51" s="76">
        <f t="shared" si="119"/>
        <v>1.1643008771497596</v>
      </c>
      <c r="DD51" s="76">
        <f t="shared" si="119"/>
        <v>1.1632329982359619</v>
      </c>
      <c r="DE51" s="76">
        <f t="shared" si="119"/>
        <v>1.1619603697651124</v>
      </c>
      <c r="DF51" s="76">
        <f t="shared" si="119"/>
        <v>1.1664799496625355</v>
      </c>
      <c r="DG51" s="76">
        <f t="shared" si="119"/>
        <v>1.158780315157294</v>
      </c>
      <c r="DH51" s="76">
        <f t="shared" si="119"/>
        <v>1.1575158441760609</v>
      </c>
      <c r="DI51" s="76">
        <f t="shared" si="119"/>
        <v>1.1638141536969873</v>
      </c>
      <c r="DJ51" s="76">
        <f t="shared" si="119"/>
        <v>1.1636211907584535</v>
      </c>
      <c r="DK51" s="76">
        <f t="shared" si="119"/>
        <v>1.1725991306710204</v>
      </c>
      <c r="DL51" s="76">
        <f t="shared" si="119"/>
        <v>1.1737114124398271</v>
      </c>
      <c r="DM51" s="76">
        <f t="shared" si="119"/>
        <v>1.1520724729875917</v>
      </c>
      <c r="DN51" s="76">
        <f t="shared" ref="DN51" si="120">DN16/DB16</f>
        <v>1.1749355944897986</v>
      </c>
      <c r="DO51" s="76">
        <f t="shared" ref="DO51:DS51" si="121">DO16/DC16</f>
        <v>1.1759987519917412</v>
      </c>
      <c r="DP51" s="76">
        <f t="shared" si="121"/>
        <v>1.1718956622268586</v>
      </c>
      <c r="DQ51" s="76">
        <f t="shared" si="121"/>
        <v>1.1575948869885579</v>
      </c>
      <c r="DR51" s="76">
        <f t="shared" si="121"/>
        <v>1.1507152852511879</v>
      </c>
      <c r="DS51" s="76">
        <f t="shared" si="121"/>
        <v>1.1371552258237674</v>
      </c>
      <c r="DT51" s="112">
        <f t="shared" si="108"/>
        <v>0.16228579825504741</v>
      </c>
    </row>
    <row r="52" spans="2:124" s="59" customFormat="1" x14ac:dyDescent="0.3">
      <c r="B52" s="75" t="s">
        <v>5</v>
      </c>
      <c r="C52" s="74"/>
      <c r="D52" s="74"/>
      <c r="E52" s="74"/>
      <c r="F52" s="74"/>
      <c r="G52" s="74"/>
      <c r="H52" s="74"/>
      <c r="I52" s="74"/>
      <c r="J52" s="74"/>
      <c r="K52" s="74"/>
      <c r="L52" s="74"/>
      <c r="M52" s="74"/>
      <c r="N52" s="74"/>
      <c r="O52" s="74"/>
      <c r="P52" s="76">
        <f t="shared" ref="P52:BP53" si="122">P14/D14</f>
        <v>1.1548830218139796</v>
      </c>
      <c r="Q52" s="76">
        <f t="shared" si="122"/>
        <v>1.2263699686622083</v>
      </c>
      <c r="R52" s="76">
        <f t="shared" si="122"/>
        <v>1.1986973549425808</v>
      </c>
      <c r="S52" s="76">
        <f t="shared" si="122"/>
        <v>1.2041958800530177</v>
      </c>
      <c r="T52" s="76">
        <f t="shared" si="122"/>
        <v>1.1901364679018702</v>
      </c>
      <c r="U52" s="76">
        <f t="shared" si="122"/>
        <v>1.1824413715591968</v>
      </c>
      <c r="V52" s="76">
        <f t="shared" si="122"/>
        <v>1.1833132871023901</v>
      </c>
      <c r="W52" s="76">
        <f t="shared" si="122"/>
        <v>1.1770602855858989</v>
      </c>
      <c r="X52" s="76">
        <f t="shared" si="122"/>
        <v>1.1767635270555108</v>
      </c>
      <c r="Y52" s="76">
        <f t="shared" si="122"/>
        <v>1.185178190819375</v>
      </c>
      <c r="Z52" s="76">
        <f t="shared" si="122"/>
        <v>1.1680139716889271</v>
      </c>
      <c r="AA52" s="76">
        <f t="shared" si="122"/>
        <v>1.1691059026518322</v>
      </c>
      <c r="AB52" s="76">
        <f t="shared" si="122"/>
        <v>1.1927586657409408</v>
      </c>
      <c r="AC52" s="76">
        <f t="shared" si="122"/>
        <v>1.1190003736826868</v>
      </c>
      <c r="AD52" s="76">
        <f t="shared" si="122"/>
        <v>1.1397108253171635</v>
      </c>
      <c r="AE52" s="76">
        <f t="shared" si="122"/>
        <v>1.1255128689592124</v>
      </c>
      <c r="AF52" s="76">
        <f t="shared" si="122"/>
        <v>1.172994024833218</v>
      </c>
      <c r="AG52" s="76">
        <f t="shared" si="122"/>
        <v>1.1901402120476212</v>
      </c>
      <c r="AH52" s="76">
        <f t="shared" si="122"/>
        <v>1.1803210776129052</v>
      </c>
      <c r="AI52" s="76">
        <f t="shared" si="122"/>
        <v>1.1788585310652135</v>
      </c>
      <c r="AJ52" s="76">
        <f t="shared" si="122"/>
        <v>1.1722624897691922</v>
      </c>
      <c r="AK52" s="76">
        <f t="shared" si="122"/>
        <v>1.1527304547265274</v>
      </c>
      <c r="AL52" s="76">
        <f t="shared" si="122"/>
        <v>1.1435137583622932</v>
      </c>
      <c r="AM52" s="76">
        <f t="shared" si="122"/>
        <v>1.0620771577084263</v>
      </c>
      <c r="AN52" s="76">
        <f t="shared" si="122"/>
        <v>1.0407605263834396</v>
      </c>
      <c r="AO52" s="76">
        <f t="shared" si="122"/>
        <v>1.0466938382890343</v>
      </c>
      <c r="AP52" s="76">
        <f t="shared" si="122"/>
        <v>1.0254821694060319</v>
      </c>
      <c r="AQ52" s="76">
        <f t="shared" si="122"/>
        <v>1.0052200597456269</v>
      </c>
      <c r="AR52" s="76">
        <f t="shared" si="122"/>
        <v>0.97791320593449504</v>
      </c>
      <c r="AS52" s="76">
        <f t="shared" si="122"/>
        <v>0.96498392270870648</v>
      </c>
      <c r="AT52" s="76">
        <f t="shared" si="122"/>
        <v>1.0841794183602653</v>
      </c>
      <c r="AU52" s="76">
        <f t="shared" si="122"/>
        <v>1.1134204805887304</v>
      </c>
      <c r="AV52" s="76">
        <f t="shared" si="122"/>
        <v>1.1190682888762353</v>
      </c>
      <c r="AW52" s="76">
        <f t="shared" si="122"/>
        <v>1.1214217714485466</v>
      </c>
      <c r="AX52" s="76">
        <f t="shared" si="122"/>
        <v>1.1551583384883548</v>
      </c>
      <c r="AY52" s="76">
        <f t="shared" si="122"/>
        <v>1.2260779785393634</v>
      </c>
      <c r="AZ52" s="76">
        <f t="shared" si="122"/>
        <v>1.2300479322396707</v>
      </c>
      <c r="BA52" s="76">
        <f t="shared" si="122"/>
        <v>1.2195479306334644</v>
      </c>
      <c r="BB52" s="76">
        <f t="shared" si="122"/>
        <v>1.4374950733794709</v>
      </c>
      <c r="BC52" s="76">
        <f t="shared" si="122"/>
        <v>1.4582374065981507</v>
      </c>
      <c r="BD52" s="76">
        <f t="shared" si="122"/>
        <v>1.4469228529286251</v>
      </c>
      <c r="BE52" s="76">
        <f t="shared" si="122"/>
        <v>1.4892474293659181</v>
      </c>
      <c r="BF52" s="76">
        <f t="shared" si="122"/>
        <v>1.3336880429507347</v>
      </c>
      <c r="BG52" s="76">
        <f t="shared" si="122"/>
        <v>1.3008788683293229</v>
      </c>
      <c r="BH52" s="76">
        <f t="shared" si="122"/>
        <v>1.3014205544646695</v>
      </c>
      <c r="BI52" s="76">
        <f t="shared" si="122"/>
        <v>1.3201561426320463</v>
      </c>
      <c r="BJ52" s="76">
        <f t="shared" si="122"/>
        <v>1.2950438722228073</v>
      </c>
      <c r="BK52" s="76">
        <f t="shared" si="122"/>
        <v>1.2986674354141625</v>
      </c>
      <c r="BL52" s="76">
        <f t="shared" si="122"/>
        <v>1.2960337434368063</v>
      </c>
      <c r="BM52" s="76">
        <f t="shared" si="122"/>
        <v>1.2998684045251396</v>
      </c>
      <c r="BN52" s="76">
        <f t="shared" si="122"/>
        <v>1.1288226963411714</v>
      </c>
      <c r="BO52" s="76">
        <f t="shared" si="122"/>
        <v>1.1140019689582201</v>
      </c>
      <c r="BP52" s="76">
        <f t="shared" si="122"/>
        <v>1.1728879710373357</v>
      </c>
      <c r="BQ52" s="76">
        <f>BQ14/BE14</f>
        <v>1.1451310853771131</v>
      </c>
      <c r="BR52" s="76">
        <f t="shared" ref="BR52:CB53" si="123">BR14/BF14</f>
        <v>1.1465948183314354</v>
      </c>
      <c r="BS52" s="76">
        <f t="shared" si="123"/>
        <v>1.1371337846479674</v>
      </c>
      <c r="BT52" s="76">
        <f t="shared" si="123"/>
        <v>1.1381937622606928</v>
      </c>
      <c r="BU52" s="76">
        <f t="shared" si="123"/>
        <v>1.1332338452353656</v>
      </c>
      <c r="BV52" s="76">
        <f t="shared" si="123"/>
        <v>1.1340547099145424</v>
      </c>
      <c r="BW52" s="76">
        <f t="shared" si="123"/>
        <v>1.1150741348053601</v>
      </c>
      <c r="BX52" s="76">
        <f t="shared" si="123"/>
        <v>1.1154004391693784</v>
      </c>
      <c r="BY52" s="76">
        <f t="shared" si="123"/>
        <v>1.1272731472071165</v>
      </c>
      <c r="BZ52" s="76">
        <f t="shared" si="123"/>
        <v>1.1167532810816176</v>
      </c>
      <c r="CA52" s="76">
        <f t="shared" si="123"/>
        <v>1.1352523943532744</v>
      </c>
      <c r="CB52" s="76">
        <f t="shared" si="123"/>
        <v>1.0720897430474661</v>
      </c>
      <c r="CC52" s="76">
        <f t="shared" ref="CC52:CC53" si="124">CC14/BQ14</f>
        <v>1.0728180873582431</v>
      </c>
      <c r="CD52" s="76">
        <f t="shared" ref="CD52:CD53" si="125">CD14/BR14</f>
        <v>1.0903070201952634</v>
      </c>
      <c r="CE52" s="76">
        <f t="shared" ref="CE52:CE53" si="126">CE14/BS14</f>
        <v>1.1019400494475275</v>
      </c>
      <c r="CF52" s="76">
        <f t="shared" ref="CF52:CQ53" si="127">CF14/BT14</f>
        <v>1.0907750785179717</v>
      </c>
      <c r="CG52" s="76">
        <f t="shared" si="127"/>
        <v>1.093417238831659</v>
      </c>
      <c r="CH52" s="76">
        <f t="shared" si="127"/>
        <v>1.0994301979832128</v>
      </c>
      <c r="CI52" s="76">
        <f t="shared" si="127"/>
        <v>1.1157549818837618</v>
      </c>
      <c r="CJ52" s="76">
        <f t="shared" si="127"/>
        <v>1.1185362736445992</v>
      </c>
      <c r="CK52" s="76">
        <f t="shared" si="127"/>
        <v>1.1076886162455439</v>
      </c>
      <c r="CL52" s="76">
        <f t="shared" si="127"/>
        <v>1.091246485771282</v>
      </c>
      <c r="CM52" s="76">
        <f t="shared" si="127"/>
        <v>1.072062623071621</v>
      </c>
      <c r="CN52" s="76">
        <f t="shared" si="127"/>
        <v>1.0689790860840593</v>
      </c>
      <c r="CO52" s="76">
        <f t="shared" si="127"/>
        <v>1.075868166959782</v>
      </c>
      <c r="CP52" s="76">
        <f t="shared" si="127"/>
        <v>1.0591796601349546</v>
      </c>
      <c r="CQ52" s="76">
        <f t="shared" si="127"/>
        <v>1.0573455471718491</v>
      </c>
      <c r="CR52" s="76">
        <f t="shared" ref="CR52:CR53" si="128">CR14/CF14</f>
        <v>1.0752003176848346</v>
      </c>
      <c r="CS52" s="76">
        <f t="shared" ref="CS52:CS53" si="129">CS14/CG14</f>
        <v>1.0796538640322728</v>
      </c>
      <c r="CT52" s="76">
        <f t="shared" ref="CT52:CU53" si="130">CT14/CH14</f>
        <v>1.0770208860399406</v>
      </c>
      <c r="CU52" s="76">
        <f t="shared" si="130"/>
        <v>1.0853330040057987</v>
      </c>
      <c r="CV52" s="76">
        <f t="shared" ref="CV52:CV53" si="131">CV14/CJ14</f>
        <v>1.0811698773003549</v>
      </c>
      <c r="CW52" s="76">
        <f t="shared" ref="CW52:DM53" si="132">CW14/CK14</f>
        <v>1.0822671445156238</v>
      </c>
      <c r="CX52" s="76">
        <f t="shared" si="132"/>
        <v>1.1142679310820502</v>
      </c>
      <c r="CY52" s="76">
        <f t="shared" si="132"/>
        <v>1.1227299678172442</v>
      </c>
      <c r="CZ52" s="76">
        <f t="shared" si="132"/>
        <v>1.1386496362827587</v>
      </c>
      <c r="DA52" s="76">
        <f t="shared" si="132"/>
        <v>1.1419539483919305</v>
      </c>
      <c r="DB52" s="76">
        <f t="shared" si="132"/>
        <v>1.1422786601692212</v>
      </c>
      <c r="DC52" s="76">
        <f t="shared" si="132"/>
        <v>1.143624431666963</v>
      </c>
      <c r="DD52" s="76">
        <f t="shared" si="132"/>
        <v>1.1440748750076284</v>
      </c>
      <c r="DE52" s="76">
        <f t="shared" si="132"/>
        <v>1.1422902555671428</v>
      </c>
      <c r="DF52" s="76">
        <f t="shared" si="132"/>
        <v>1.1478385740457671</v>
      </c>
      <c r="DG52" s="76">
        <f t="shared" si="132"/>
        <v>1.1396855162959851</v>
      </c>
      <c r="DH52" s="76">
        <f t="shared" si="132"/>
        <v>1.1373326048171291</v>
      </c>
      <c r="DI52" s="76">
        <f t="shared" si="132"/>
        <v>1.1426769367519003</v>
      </c>
      <c r="DJ52" s="76">
        <f t="shared" si="132"/>
        <v>1.1389881985056458</v>
      </c>
      <c r="DK52" s="76">
        <f t="shared" si="132"/>
        <v>1.1480678906034627</v>
      </c>
      <c r="DL52" s="76">
        <f t="shared" si="132"/>
        <v>1.1511773625032733</v>
      </c>
      <c r="DM52" s="76">
        <f t="shared" si="132"/>
        <v>1.1557397985836422</v>
      </c>
      <c r="DN52" s="76">
        <f t="shared" ref="DN52:DN53" si="133">DN14/DB14</f>
        <v>1.1518598872114238</v>
      </c>
      <c r="DO52" s="76">
        <f t="shared" ref="DO52:DS53" si="134">DO14/DC14</f>
        <v>1.1542504595361329</v>
      </c>
      <c r="DP52" s="76">
        <f t="shared" si="134"/>
        <v>1.1496512784261057</v>
      </c>
      <c r="DQ52" s="76">
        <f t="shared" si="134"/>
        <v>1.1321333475374027</v>
      </c>
      <c r="DR52" s="76">
        <f t="shared" si="134"/>
        <v>1.1232641170527353</v>
      </c>
      <c r="DS52" s="76">
        <f t="shared" si="134"/>
        <v>1.1104736495882879</v>
      </c>
      <c r="DT52" s="112">
        <f t="shared" si="108"/>
        <v>0.14110616012003718</v>
      </c>
    </row>
    <row r="53" spans="2:124" s="59" customFormat="1" x14ac:dyDescent="0.3">
      <c r="B53" s="74" t="s">
        <v>6</v>
      </c>
      <c r="C53" s="74"/>
      <c r="D53" s="74"/>
      <c r="E53" s="74"/>
      <c r="F53" s="74"/>
      <c r="G53" s="74"/>
      <c r="H53" s="74"/>
      <c r="I53" s="74"/>
      <c r="J53" s="74"/>
      <c r="K53" s="74"/>
      <c r="L53" s="74"/>
      <c r="M53" s="74"/>
      <c r="N53" s="74"/>
      <c r="O53" s="74"/>
      <c r="P53" s="76">
        <f t="shared" si="122"/>
        <v>1.293174563404881</v>
      </c>
      <c r="Q53" s="76">
        <f t="shared" si="122"/>
        <v>2.2106444543418844</v>
      </c>
      <c r="R53" s="76">
        <f t="shared" si="122"/>
        <v>2.1798003500236267</v>
      </c>
      <c r="S53" s="76">
        <f t="shared" si="122"/>
        <v>2.1909672067587946</v>
      </c>
      <c r="T53" s="76">
        <f t="shared" si="122"/>
        <v>2.2198281034661971</v>
      </c>
      <c r="U53" s="76">
        <f t="shared" si="122"/>
        <v>2.2013030802190641</v>
      </c>
      <c r="V53" s="76">
        <f t="shared" si="122"/>
        <v>2.2004332157975668</v>
      </c>
      <c r="W53" s="76">
        <f t="shared" si="122"/>
        <v>2.1725399946217832</v>
      </c>
      <c r="X53" s="76">
        <f t="shared" si="122"/>
        <v>2.1681366531163779</v>
      </c>
      <c r="Y53" s="76">
        <f t="shared" si="122"/>
        <v>2.1710904444746197</v>
      </c>
      <c r="Z53" s="76">
        <f t="shared" si="122"/>
        <v>2.1572313394911538</v>
      </c>
      <c r="AA53" s="76">
        <f t="shared" si="122"/>
        <v>2.1374143422592953</v>
      </c>
      <c r="AB53" s="76">
        <f t="shared" si="122"/>
        <v>2.0586918125237763</v>
      </c>
      <c r="AC53" s="76">
        <f t="shared" si="122"/>
        <v>1.175254705782212</v>
      </c>
      <c r="AD53" s="76">
        <f t="shared" si="122"/>
        <v>1.1860484987435431</v>
      </c>
      <c r="AE53" s="76">
        <f t="shared" si="122"/>
        <v>1.1508635875056685</v>
      </c>
      <c r="AF53" s="76">
        <f t="shared" si="122"/>
        <v>1.1427240767512534</v>
      </c>
      <c r="AG53" s="76">
        <f t="shared" si="122"/>
        <v>1.1554335273867387</v>
      </c>
      <c r="AH53" s="76">
        <f t="shared" si="122"/>
        <v>1.144515096874122</v>
      </c>
      <c r="AI53" s="76">
        <f t="shared" si="122"/>
        <v>1.11082866961316</v>
      </c>
      <c r="AJ53" s="76">
        <f t="shared" si="122"/>
        <v>1.0977438931784165</v>
      </c>
      <c r="AK53" s="76">
        <f t="shared" si="122"/>
        <v>1.0845489268901864</v>
      </c>
      <c r="AL53" s="76">
        <f t="shared" si="122"/>
        <v>1.059690046787094</v>
      </c>
      <c r="AM53" s="76">
        <f t="shared" si="122"/>
        <v>1.0865137738483954</v>
      </c>
      <c r="AN53" s="76">
        <f t="shared" si="122"/>
        <v>1.1048339796875126</v>
      </c>
      <c r="AO53" s="76">
        <f t="shared" si="122"/>
        <v>1.1154469963132296</v>
      </c>
      <c r="AP53" s="76">
        <f t="shared" si="122"/>
        <v>1.1261420101858366</v>
      </c>
      <c r="AQ53" s="76">
        <f t="shared" si="122"/>
        <v>1.1301349585568907</v>
      </c>
      <c r="AR53" s="76">
        <f t="shared" si="122"/>
        <v>1.093148658820313</v>
      </c>
      <c r="AS53" s="76">
        <f t="shared" si="122"/>
        <v>1.0866942741195378</v>
      </c>
      <c r="AT53" s="76">
        <f t="shared" si="122"/>
        <v>1.1996051398086542</v>
      </c>
      <c r="AU53" s="76">
        <f t="shared" si="122"/>
        <v>1.3017229274705115</v>
      </c>
      <c r="AV53" s="76">
        <f t="shared" si="122"/>
        <v>1.3241641449998518</v>
      </c>
      <c r="AW53" s="76">
        <f t="shared" si="122"/>
        <v>1.4451864918337953</v>
      </c>
      <c r="AX53" s="76">
        <f t="shared" si="122"/>
        <v>1.452645849927779</v>
      </c>
      <c r="AY53" s="76">
        <f t="shared" si="122"/>
        <v>1.4206410328022607</v>
      </c>
      <c r="AZ53" s="76">
        <f t="shared" si="122"/>
        <v>1.4377135415520221</v>
      </c>
      <c r="BA53" s="76">
        <f t="shared" si="122"/>
        <v>1.4161693237707753</v>
      </c>
      <c r="BB53" s="76">
        <f t="shared" si="122"/>
        <v>1.2973556270391393</v>
      </c>
      <c r="BC53" s="76">
        <f t="shared" si="122"/>
        <v>1.3218688118386497</v>
      </c>
      <c r="BD53" s="76">
        <f t="shared" si="122"/>
        <v>1.3432338639209591</v>
      </c>
      <c r="BE53" s="76">
        <f t="shared" si="122"/>
        <v>1.4116712170304668</v>
      </c>
      <c r="BF53" s="76">
        <f t="shared" si="122"/>
        <v>1.3022717459036972</v>
      </c>
      <c r="BG53" s="76">
        <f t="shared" si="122"/>
        <v>1.2250670695527164</v>
      </c>
      <c r="BH53" s="76">
        <f t="shared" si="122"/>
        <v>1.2244754555217732</v>
      </c>
      <c r="BI53" s="76">
        <f t="shared" si="122"/>
        <v>1.133026467890673</v>
      </c>
      <c r="BJ53" s="76">
        <f t="shared" si="122"/>
        <v>1.1446981670934704</v>
      </c>
      <c r="BK53" s="76">
        <f t="shared" si="122"/>
        <v>1.1419028315840341</v>
      </c>
      <c r="BL53" s="76">
        <f t="shared" si="122"/>
        <v>1.1227377244875671</v>
      </c>
      <c r="BM53" s="76">
        <f t="shared" si="122"/>
        <v>1.1479268284443174</v>
      </c>
      <c r="BN53" s="76">
        <f t="shared" si="122"/>
        <v>1.2603936495073604</v>
      </c>
      <c r="BO53" s="76">
        <f t="shared" si="122"/>
        <v>1.2358651220061037</v>
      </c>
      <c r="BP53" s="76">
        <f t="shared" si="122"/>
        <v>1.2466806515376812</v>
      </c>
      <c r="BQ53" s="76">
        <f>BQ15/BE15</f>
        <v>1.1839065887607685</v>
      </c>
      <c r="BR53" s="76">
        <f t="shared" si="123"/>
        <v>1.1715618767874507</v>
      </c>
      <c r="BS53" s="76">
        <f t="shared" si="123"/>
        <v>1.1729219956565469</v>
      </c>
      <c r="BT53" s="76">
        <f t="shared" si="123"/>
        <v>1.1677858925613422</v>
      </c>
      <c r="BU53" s="76">
        <f t="shared" si="123"/>
        <v>1.1762955892606721</v>
      </c>
      <c r="BV53" s="76">
        <f t="shared" si="123"/>
        <v>1.1713475901355306</v>
      </c>
      <c r="BW53" s="76">
        <f t="shared" si="123"/>
        <v>1.1670823106026837</v>
      </c>
      <c r="BX53" s="76">
        <f t="shared" si="123"/>
        <v>1.1841987031905339</v>
      </c>
      <c r="BY53" s="76">
        <f t="shared" si="123"/>
        <v>1.1651753913400815</v>
      </c>
      <c r="BZ53" s="76">
        <f t="shared" si="123"/>
        <v>1.1412149835877565</v>
      </c>
      <c r="CA53" s="76">
        <f t="shared" si="123"/>
        <v>1.1528851768952262</v>
      </c>
      <c r="CB53" s="76">
        <f t="shared" si="123"/>
        <v>1.1460057281918639</v>
      </c>
      <c r="CC53" s="76">
        <f t="shared" si="124"/>
        <v>1.1472486496910883</v>
      </c>
      <c r="CD53" s="76">
        <f t="shared" si="125"/>
        <v>1.1419948289001345</v>
      </c>
      <c r="CE53" s="76">
        <f t="shared" si="126"/>
        <v>1.1611996930664317</v>
      </c>
      <c r="CF53" s="76">
        <f t="shared" si="127"/>
        <v>1.1686135260954817</v>
      </c>
      <c r="CG53" s="76">
        <f t="shared" si="127"/>
        <v>1.1620563549103931</v>
      </c>
      <c r="CH53" s="76">
        <f t="shared" si="127"/>
        <v>1.1745041827610756</v>
      </c>
      <c r="CI53" s="76">
        <f t="shared" si="127"/>
        <v>1.1759910812376271</v>
      </c>
      <c r="CJ53" s="76">
        <f t="shared" si="127"/>
        <v>1.1784402756032188</v>
      </c>
      <c r="CK53" s="76">
        <f t="shared" si="127"/>
        <v>1.1845789591243172</v>
      </c>
      <c r="CL53" s="76">
        <f t="shared" si="127"/>
        <v>1.1649429328060006</v>
      </c>
      <c r="CM53" s="76">
        <f t="shared" si="127"/>
        <v>1.153061565372197</v>
      </c>
      <c r="CN53" s="76">
        <f t="shared" si="127"/>
        <v>1.1382050681099234</v>
      </c>
      <c r="CO53" s="76">
        <f t="shared" si="127"/>
        <v>1.1233034698907809</v>
      </c>
      <c r="CP53" s="76">
        <f t="shared" si="127"/>
        <v>1.1315469551213553</v>
      </c>
      <c r="CQ53" s="76">
        <f t="shared" si="127"/>
        <v>1.1256956028226013</v>
      </c>
      <c r="CR53" s="76">
        <f t="shared" si="128"/>
        <v>1.1315166735368198</v>
      </c>
      <c r="CS53" s="76">
        <f t="shared" si="129"/>
        <v>1.1465462398954529</v>
      </c>
      <c r="CT53" s="76">
        <f t="shared" si="130"/>
        <v>1.1484969765406294</v>
      </c>
      <c r="CU53" s="76">
        <f t="shared" si="130"/>
        <v>1.1763439540441496</v>
      </c>
      <c r="CV53" s="76">
        <f t="shared" si="131"/>
        <v>1.1865079023070861</v>
      </c>
      <c r="CW53" s="76">
        <f t="shared" si="132"/>
        <v>1.191396514534641</v>
      </c>
      <c r="CX53" s="76">
        <f t="shared" si="132"/>
        <v>1.2235779915984428</v>
      </c>
      <c r="CY53" s="76">
        <f t="shared" si="132"/>
        <v>1.2417367721976202</v>
      </c>
      <c r="CZ53" s="76">
        <f t="shared" si="132"/>
        <v>1.2831340220701697</v>
      </c>
      <c r="DA53" s="76">
        <f t="shared" si="132"/>
        <v>1.3030812807599772</v>
      </c>
      <c r="DB53" s="76">
        <f t="shared" si="132"/>
        <v>1.3064034724375531</v>
      </c>
      <c r="DC53" s="76">
        <f t="shared" si="132"/>
        <v>1.3127776863661802</v>
      </c>
      <c r="DD53" s="76">
        <f t="shared" si="132"/>
        <v>1.3103830855227965</v>
      </c>
      <c r="DE53" s="76">
        <f t="shared" si="132"/>
        <v>1.3084507780013164</v>
      </c>
      <c r="DF53" s="76">
        <f t="shared" si="132"/>
        <v>1.3034279147548931</v>
      </c>
      <c r="DG53" s="76">
        <f t="shared" si="132"/>
        <v>1.2953331612451005</v>
      </c>
      <c r="DH53" s="76">
        <f t="shared" si="132"/>
        <v>1.2852981532017769</v>
      </c>
      <c r="DI53" s="76">
        <f t="shared" si="132"/>
        <v>1.2907688372700918</v>
      </c>
      <c r="DJ53" s="76">
        <f t="shared" si="132"/>
        <v>1.2938171554795481</v>
      </c>
      <c r="DK53" s="76">
        <f t="shared" si="132"/>
        <v>1.3010036461044956</v>
      </c>
      <c r="DL53" s="76">
        <f t="shared" si="132"/>
        <v>1.2924858742160605</v>
      </c>
      <c r="DM53" s="76">
        <f t="shared" si="132"/>
        <v>1.2861379604541827</v>
      </c>
      <c r="DN53" s="76">
        <f t="shared" si="133"/>
        <v>1.2814184804859874</v>
      </c>
      <c r="DO53" s="76">
        <f t="shared" si="134"/>
        <v>1.2658913986553715</v>
      </c>
      <c r="DP53" s="76">
        <f t="shared" si="134"/>
        <v>1.2484564060170527</v>
      </c>
      <c r="DQ53" s="76">
        <f t="shared" si="134"/>
        <v>1.2266736496389259</v>
      </c>
      <c r="DR53" s="76">
        <f t="shared" si="134"/>
        <v>1.210573565722814</v>
      </c>
      <c r="DS53" s="76">
        <f t="shared" si="134"/>
        <v>1.1771969024334319</v>
      </c>
      <c r="DT53" s="112">
        <f t="shared" si="108"/>
        <v>0.26521330803452248</v>
      </c>
    </row>
    <row r="54" spans="2:124" s="59" customFormat="1" x14ac:dyDescent="0.3">
      <c r="B54" s="74" t="s">
        <v>28</v>
      </c>
      <c r="C54" s="74"/>
      <c r="D54" s="74"/>
      <c r="E54" s="74"/>
      <c r="F54" s="74"/>
      <c r="G54" s="74"/>
      <c r="H54" s="74"/>
      <c r="I54" s="74"/>
      <c r="J54" s="74"/>
      <c r="K54" s="74"/>
      <c r="L54" s="74"/>
      <c r="M54" s="74"/>
      <c r="N54" s="74"/>
      <c r="O54" s="74"/>
      <c r="P54" s="76">
        <f t="shared" ref="P54:BP56" si="135">P19/D19</f>
        <v>1.0782957285078996</v>
      </c>
      <c r="Q54" s="76">
        <f t="shared" si="135"/>
        <v>1.3219076592150574</v>
      </c>
      <c r="R54" s="76">
        <f t="shared" si="135"/>
        <v>1.3160385430496293</v>
      </c>
      <c r="S54" s="76">
        <f t="shared" si="135"/>
        <v>1.3500546382311847</v>
      </c>
      <c r="T54" s="76">
        <f t="shared" si="135"/>
        <v>1.4298982217710061</v>
      </c>
      <c r="U54" s="76">
        <f t="shared" si="135"/>
        <v>1.5074577954694477</v>
      </c>
      <c r="V54" s="76">
        <f t="shared" si="135"/>
        <v>1.5086929535737441</v>
      </c>
      <c r="W54" s="76">
        <f t="shared" si="135"/>
        <v>1.5127739172326444</v>
      </c>
      <c r="X54" s="76">
        <f t="shared" si="135"/>
        <v>1.5151723117009517</v>
      </c>
      <c r="Y54" s="76">
        <f t="shared" si="135"/>
        <v>1.5278947187315435</v>
      </c>
      <c r="Z54" s="76">
        <f t="shared" si="135"/>
        <v>1.5104118611170292</v>
      </c>
      <c r="AA54" s="76">
        <f t="shared" si="135"/>
        <v>1.528913668374267</v>
      </c>
      <c r="AB54" s="76">
        <f t="shared" si="135"/>
        <v>1.5217521256860871</v>
      </c>
      <c r="AC54" s="76">
        <f t="shared" si="135"/>
        <v>1.2032436081358679</v>
      </c>
      <c r="AD54" s="76">
        <f t="shared" si="135"/>
        <v>1.2062112562539518</v>
      </c>
      <c r="AE54" s="76">
        <f t="shared" si="135"/>
        <v>1.2363957359342077</v>
      </c>
      <c r="AF54" s="76">
        <f t="shared" si="135"/>
        <v>1.2095776089236832</v>
      </c>
      <c r="AG54" s="76">
        <f t="shared" si="135"/>
        <v>1.1543766272826244</v>
      </c>
      <c r="AH54" s="76">
        <f t="shared" si="135"/>
        <v>1.1572883004543766</v>
      </c>
      <c r="AI54" s="76">
        <f t="shared" si="135"/>
        <v>1.131861789095753</v>
      </c>
      <c r="AJ54" s="76">
        <f t="shared" si="135"/>
        <v>1.1352331344378646</v>
      </c>
      <c r="AK54" s="76">
        <f t="shared" si="135"/>
        <v>1.1246071937606594</v>
      </c>
      <c r="AL54" s="76">
        <f t="shared" si="135"/>
        <v>1.1343318283714017</v>
      </c>
      <c r="AM54" s="76">
        <f t="shared" si="135"/>
        <v>1.1879161000541776</v>
      </c>
      <c r="AN54" s="76">
        <f t="shared" si="135"/>
        <v>1.1883533034431804</v>
      </c>
      <c r="AO54" s="76">
        <f t="shared" si="135"/>
        <v>1.2194945703901172</v>
      </c>
      <c r="AP54" s="76">
        <f t="shared" si="135"/>
        <v>1.1623113869832997</v>
      </c>
      <c r="AQ54" s="76">
        <f t="shared" si="135"/>
        <v>1.0900359552079024</v>
      </c>
      <c r="AR54" s="76">
        <f t="shared" si="135"/>
        <v>1.0403519889269515</v>
      </c>
      <c r="AS54" s="76">
        <f t="shared" si="135"/>
        <v>1.0535182582805482</v>
      </c>
      <c r="AT54" s="76">
        <f t="shared" si="135"/>
        <v>1.0918025843522203</v>
      </c>
      <c r="AU54" s="76">
        <f t="shared" si="135"/>
        <v>1.0786916774548079</v>
      </c>
      <c r="AV54" s="76">
        <f t="shared" si="135"/>
        <v>1.0679412909585551</v>
      </c>
      <c r="AW54" s="76">
        <f t="shared" si="135"/>
        <v>1.0611138450608835</v>
      </c>
      <c r="AX54" s="76">
        <f t="shared" si="135"/>
        <v>1.0605784319613147</v>
      </c>
      <c r="AY54" s="76">
        <f t="shared" si="135"/>
        <v>1.0149966147124334</v>
      </c>
      <c r="AZ54" s="76">
        <f t="shared" si="135"/>
        <v>1.0136261083483604</v>
      </c>
      <c r="BA54" s="76">
        <f t="shared" si="135"/>
        <v>1.0159976669424067</v>
      </c>
      <c r="BB54" s="76">
        <f t="shared" si="135"/>
        <v>1.0798368415865556</v>
      </c>
      <c r="BC54" s="76">
        <f t="shared" si="135"/>
        <v>1.0895645328535977</v>
      </c>
      <c r="BD54" s="76">
        <f t="shared" si="135"/>
        <v>1.091992461679363</v>
      </c>
      <c r="BE54" s="76">
        <f t="shared" si="135"/>
        <v>1.0979960826962425</v>
      </c>
      <c r="BF54" s="76">
        <f t="shared" si="135"/>
        <v>1.0526880933021818</v>
      </c>
      <c r="BG54" s="76">
        <f t="shared" si="135"/>
        <v>1.0848681908948778</v>
      </c>
      <c r="BH54" s="76">
        <f t="shared" si="135"/>
        <v>1.0887304865581529</v>
      </c>
      <c r="BI54" s="76">
        <f t="shared" si="135"/>
        <v>1.0978676404047685</v>
      </c>
      <c r="BJ54" s="76">
        <f t="shared" si="135"/>
        <v>1.0932054227859858</v>
      </c>
      <c r="BK54" s="76">
        <f t="shared" si="135"/>
        <v>1.0913602847155479</v>
      </c>
      <c r="BL54" s="76">
        <f t="shared" si="135"/>
        <v>1.0900089682545124</v>
      </c>
      <c r="BM54" s="76">
        <f t="shared" si="135"/>
        <v>1.0908820545010771</v>
      </c>
      <c r="BN54" s="76">
        <f t="shared" si="135"/>
        <v>1.0850168726119664</v>
      </c>
      <c r="BO54" s="76">
        <f t="shared" si="135"/>
        <v>1.0809675496733091</v>
      </c>
      <c r="BP54" s="76">
        <f t="shared" si="135"/>
        <v>1.0955433176276506</v>
      </c>
      <c r="BQ54" s="76">
        <f>BQ19/BE19</f>
        <v>1.0697884508069899</v>
      </c>
      <c r="BR54" s="76">
        <f t="shared" ref="BR54:CB56" si="136">BR19/BF19</f>
        <v>1.0721763102820883</v>
      </c>
      <c r="BS54" s="76">
        <f t="shared" si="136"/>
        <v>1.0668093819992333</v>
      </c>
      <c r="BT54" s="76">
        <f t="shared" si="136"/>
        <v>1.0891445882323914</v>
      </c>
      <c r="BU54" s="76">
        <f t="shared" si="136"/>
        <v>1.1152003904696768</v>
      </c>
      <c r="BV54" s="76">
        <f t="shared" si="136"/>
        <v>1.1185873142883684</v>
      </c>
      <c r="BW54" s="76">
        <f t="shared" si="136"/>
        <v>1.0845704376155993</v>
      </c>
      <c r="BX54" s="76">
        <f t="shared" si="136"/>
        <v>1.0643375899680636</v>
      </c>
      <c r="BY54" s="76">
        <f t="shared" si="136"/>
        <v>1.1113470189026666</v>
      </c>
      <c r="BZ54" s="76">
        <f t="shared" si="136"/>
        <v>1.1054518966773128</v>
      </c>
      <c r="CA54" s="76">
        <f t="shared" si="136"/>
        <v>1.1126070369640717</v>
      </c>
      <c r="CB54" s="76">
        <f t="shared" si="136"/>
        <v>1.0996390673068503</v>
      </c>
      <c r="CC54" s="76">
        <f t="shared" ref="CC54:CC56" si="137">CC19/BQ19</f>
        <v>1.0973629248626671</v>
      </c>
      <c r="CD54" s="76">
        <f t="shared" ref="CD54:CD56" si="138">CD19/BR19</f>
        <v>1.0994780034907008</v>
      </c>
      <c r="CE54" s="76">
        <f t="shared" ref="CE54:CE56" si="139">CE19/BS19</f>
        <v>1.1047537637858802</v>
      </c>
      <c r="CF54" s="76">
        <f t="shared" ref="CF54:CQ56" si="140">CF19/BT19</f>
        <v>1.0797242813055601</v>
      </c>
      <c r="CG54" s="76">
        <f t="shared" si="140"/>
        <v>1.1001182359569215</v>
      </c>
      <c r="CH54" s="76">
        <f t="shared" si="140"/>
        <v>1.119852025216111</v>
      </c>
      <c r="CI54" s="76">
        <f t="shared" si="140"/>
        <v>1.1555635643455036</v>
      </c>
      <c r="CJ54" s="76">
        <f t="shared" si="140"/>
        <v>1.1849379136338063</v>
      </c>
      <c r="CK54" s="76">
        <f t="shared" si="140"/>
        <v>1.1355561900534579</v>
      </c>
      <c r="CL54" s="76">
        <f t="shared" si="140"/>
        <v>1.1287472276371866</v>
      </c>
      <c r="CM54" s="76">
        <f t="shared" si="140"/>
        <v>1.12150858312063</v>
      </c>
      <c r="CN54" s="76">
        <f t="shared" si="140"/>
        <v>1.1244436388885042</v>
      </c>
      <c r="CO54" s="76">
        <f t="shared" si="140"/>
        <v>1.1208413541141569</v>
      </c>
      <c r="CP54" s="76">
        <f t="shared" si="140"/>
        <v>1.115402538043587</v>
      </c>
      <c r="CQ54" s="76">
        <f t="shared" si="140"/>
        <v>1.111983961802377</v>
      </c>
      <c r="CR54" s="76">
        <f t="shared" ref="CR54:CR56" si="141">CR19/CF19</f>
        <v>1.1126871769049045</v>
      </c>
      <c r="CS54" s="76">
        <f t="shared" ref="CS54:CS56" si="142">CS19/CG19</f>
        <v>1.0631723403214348</v>
      </c>
      <c r="CT54" s="76">
        <f t="shared" ref="CT54:CU56" si="143">CT19/CH19</f>
        <v>1.0421055529337737</v>
      </c>
      <c r="CU54" s="76">
        <f t="shared" si="143"/>
        <v>1.0431280999493895</v>
      </c>
      <c r="CV54" s="76">
        <f t="shared" ref="CV54:CV56" si="144">CV19/CJ19</f>
        <v>1.0378656145761394</v>
      </c>
      <c r="CW54" s="76">
        <f t="shared" ref="CW54:DM56" si="145">CW19/CK19</f>
        <v>1.0399776050334004</v>
      </c>
      <c r="CX54" s="76">
        <f t="shared" si="145"/>
        <v>1.0508666349276576</v>
      </c>
      <c r="CY54" s="76">
        <f t="shared" si="145"/>
        <v>1.0558945830877098</v>
      </c>
      <c r="CZ54" s="76">
        <f t="shared" si="145"/>
        <v>1.0606342785101739</v>
      </c>
      <c r="DA54" s="76">
        <f t="shared" si="145"/>
        <v>1.0662860415440205</v>
      </c>
      <c r="DB54" s="76">
        <f t="shared" si="145"/>
        <v>1.0573322479739418</v>
      </c>
      <c r="DC54" s="76">
        <f t="shared" si="145"/>
        <v>1.0599828367562558</v>
      </c>
      <c r="DD54" s="76">
        <f t="shared" si="145"/>
        <v>1.0615011393876133</v>
      </c>
      <c r="DE54" s="76">
        <f t="shared" si="145"/>
        <v>1.0653272454873448</v>
      </c>
      <c r="DF54" s="76">
        <f t="shared" si="145"/>
        <v>1.0739330107366076</v>
      </c>
      <c r="DG54" s="76">
        <f t="shared" si="145"/>
        <v>1.076662212939522</v>
      </c>
      <c r="DH54" s="76">
        <f t="shared" si="145"/>
        <v>1.0937206236854926</v>
      </c>
      <c r="DI54" s="76">
        <f t="shared" si="145"/>
        <v>1.0943795462369357</v>
      </c>
      <c r="DJ54" s="76">
        <f t="shared" si="145"/>
        <v>1.082867247587415</v>
      </c>
      <c r="DK54" s="76">
        <f t="shared" si="145"/>
        <v>1.0829697859383201</v>
      </c>
      <c r="DL54" s="76">
        <f t="shared" si="145"/>
        <v>1.0824982690187899</v>
      </c>
      <c r="DM54" s="76">
        <f t="shared" si="145"/>
        <v>1.0820322845704049</v>
      </c>
      <c r="DN54" s="76">
        <f t="shared" ref="DN54:DN56" si="146">DN19/DB19</f>
        <v>1.0965529675654602</v>
      </c>
      <c r="DO54" s="76">
        <f t="shared" ref="DO54:DS56" si="147">DO19/DC19</f>
        <v>1.0987828163051114</v>
      </c>
      <c r="DP54" s="76">
        <f t="shared" si="147"/>
        <v>1.1014245429585385</v>
      </c>
      <c r="DQ54" s="76">
        <f t="shared" si="147"/>
        <v>1.1015637389884034</v>
      </c>
      <c r="DR54" s="76">
        <f t="shared" si="147"/>
        <v>1.0982905506652711</v>
      </c>
      <c r="DS54" s="76">
        <f t="shared" si="147"/>
        <v>1.092410998123619</v>
      </c>
      <c r="DT54" s="112">
        <f t="shared" si="108"/>
        <v>9.1058019171398108E-2</v>
      </c>
    </row>
    <row r="55" spans="2:124" s="59" customFormat="1" x14ac:dyDescent="0.3">
      <c r="B55" s="74" t="s">
        <v>2</v>
      </c>
      <c r="C55" s="74"/>
      <c r="D55" s="74"/>
      <c r="E55" s="74"/>
      <c r="F55" s="74"/>
      <c r="G55" s="74"/>
      <c r="H55" s="74"/>
      <c r="I55" s="74"/>
      <c r="J55" s="74"/>
      <c r="K55" s="74"/>
      <c r="L55" s="74"/>
      <c r="M55" s="74"/>
      <c r="N55" s="74"/>
      <c r="O55" s="74"/>
      <c r="P55" s="76">
        <f t="shared" si="135"/>
        <v>1.0774237714310606</v>
      </c>
      <c r="Q55" s="76">
        <f t="shared" si="135"/>
        <v>1.3000741882269919</v>
      </c>
      <c r="R55" s="76">
        <f t="shared" si="135"/>
        <v>1.293126265438991</v>
      </c>
      <c r="S55" s="76">
        <f t="shared" si="135"/>
        <v>1.3241572677414899</v>
      </c>
      <c r="T55" s="76">
        <f t="shared" si="135"/>
        <v>1.3894710536296522</v>
      </c>
      <c r="U55" s="76">
        <f t="shared" si="135"/>
        <v>1.4624882152810441</v>
      </c>
      <c r="V55" s="76">
        <f t="shared" si="135"/>
        <v>1.46301500379311</v>
      </c>
      <c r="W55" s="76">
        <f t="shared" si="135"/>
        <v>1.4667033807398777</v>
      </c>
      <c r="X55" s="76">
        <f t="shared" si="135"/>
        <v>1.4695282377182433</v>
      </c>
      <c r="Y55" s="76">
        <f t="shared" si="135"/>
        <v>1.4818629515485673</v>
      </c>
      <c r="Z55" s="76">
        <f t="shared" si="135"/>
        <v>1.4652793757640481</v>
      </c>
      <c r="AA55" s="76">
        <f t="shared" si="135"/>
        <v>1.4822379769924532</v>
      </c>
      <c r="AB55" s="76">
        <f t="shared" si="135"/>
        <v>1.4845081937985607</v>
      </c>
      <c r="AC55" s="76">
        <f t="shared" si="135"/>
        <v>1.1922903391702389</v>
      </c>
      <c r="AD55" s="76">
        <f t="shared" si="135"/>
        <v>1.196423551647994</v>
      </c>
      <c r="AE55" s="76">
        <f t="shared" si="135"/>
        <v>1.2285041649386892</v>
      </c>
      <c r="AF55" s="76">
        <f t="shared" si="135"/>
        <v>1.2131115697565422</v>
      </c>
      <c r="AG55" s="76">
        <f t="shared" si="135"/>
        <v>1.1593094761592093</v>
      </c>
      <c r="AH55" s="76">
        <f t="shared" si="135"/>
        <v>1.1631763710432621</v>
      </c>
      <c r="AI55" s="76">
        <f t="shared" si="135"/>
        <v>1.138432134430001</v>
      </c>
      <c r="AJ55" s="76">
        <f t="shared" si="135"/>
        <v>1.1419738878403805</v>
      </c>
      <c r="AK55" s="76">
        <f t="shared" si="135"/>
        <v>1.1314188292990992</v>
      </c>
      <c r="AL55" s="76">
        <f t="shared" si="135"/>
        <v>1.1412455269948807</v>
      </c>
      <c r="AM55" s="76">
        <f t="shared" si="135"/>
        <v>1.1882934088995392</v>
      </c>
      <c r="AN55" s="76">
        <f t="shared" si="135"/>
        <v>1.1816761607842476</v>
      </c>
      <c r="AO55" s="76">
        <f t="shared" si="135"/>
        <v>1.2124611467109534</v>
      </c>
      <c r="AP55" s="76">
        <f t="shared" si="135"/>
        <v>1.1547782963398927</v>
      </c>
      <c r="AQ55" s="76">
        <f t="shared" si="135"/>
        <v>1.0828828664703996</v>
      </c>
      <c r="AR55" s="76">
        <f t="shared" si="135"/>
        <v>1.0347529232580019</v>
      </c>
      <c r="AS55" s="76">
        <f t="shared" si="135"/>
        <v>1.0477276491582557</v>
      </c>
      <c r="AT55" s="76">
        <f t="shared" si="135"/>
        <v>1.0864663843438549</v>
      </c>
      <c r="AU55" s="76">
        <f t="shared" si="135"/>
        <v>1.0720281623647523</v>
      </c>
      <c r="AV55" s="76">
        <f t="shared" si="135"/>
        <v>1.0608490517179754</v>
      </c>
      <c r="AW55" s="76">
        <f t="shared" si="135"/>
        <v>1.0541294378728232</v>
      </c>
      <c r="AX55" s="76">
        <f t="shared" si="135"/>
        <v>1.0522479440652683</v>
      </c>
      <c r="AY55" s="76">
        <f t="shared" si="135"/>
        <v>1.0130871447892573</v>
      </c>
      <c r="AZ55" s="76">
        <f t="shared" si="135"/>
        <v>1.01142450239577</v>
      </c>
      <c r="BA55" s="76">
        <f t="shared" si="135"/>
        <v>1.014249504081121</v>
      </c>
      <c r="BB55" s="76">
        <f t="shared" si="135"/>
        <v>1.1017616601117886</v>
      </c>
      <c r="BC55" s="76">
        <f t="shared" si="135"/>
        <v>1.112159269887959</v>
      </c>
      <c r="BD55" s="76">
        <f t="shared" si="135"/>
        <v>1.1133345312741787</v>
      </c>
      <c r="BE55" s="76">
        <f t="shared" si="135"/>
        <v>1.1195766549556001</v>
      </c>
      <c r="BF55" s="76">
        <f t="shared" si="135"/>
        <v>1.0723585699056282</v>
      </c>
      <c r="BG55" s="76">
        <f t="shared" si="135"/>
        <v>1.1062533853211671</v>
      </c>
      <c r="BH55" s="76">
        <f t="shared" si="135"/>
        <v>1.1101904528519269</v>
      </c>
      <c r="BI55" s="76">
        <f t="shared" si="135"/>
        <v>1.1192263999779342</v>
      </c>
      <c r="BJ55" s="76">
        <f t="shared" si="135"/>
        <v>1.1154760287112893</v>
      </c>
      <c r="BK55" s="76">
        <f t="shared" si="135"/>
        <v>1.1139697302905092</v>
      </c>
      <c r="BL55" s="76">
        <f t="shared" si="135"/>
        <v>1.1126670407607466</v>
      </c>
      <c r="BM55" s="76">
        <f t="shared" si="135"/>
        <v>1.1133063963027952</v>
      </c>
      <c r="BN55" s="76">
        <f t="shared" si="135"/>
        <v>1.0839525015794333</v>
      </c>
      <c r="BO55" s="76">
        <f t="shared" si="135"/>
        <v>1.0796701497271795</v>
      </c>
      <c r="BP55" s="76">
        <f t="shared" si="135"/>
        <v>1.0948903728045341</v>
      </c>
      <c r="BQ55" s="76">
        <f>BQ20/BE20</f>
        <v>1.0694729223752861</v>
      </c>
      <c r="BR55" s="76">
        <f t="shared" si="136"/>
        <v>1.0718996823529789</v>
      </c>
      <c r="BS55" s="76">
        <f t="shared" si="136"/>
        <v>1.0664128440952594</v>
      </c>
      <c r="BT55" s="76">
        <f t="shared" si="136"/>
        <v>1.0878238733034726</v>
      </c>
      <c r="BU55" s="76">
        <f t="shared" si="136"/>
        <v>1.1127712746401321</v>
      </c>
      <c r="BV55" s="76">
        <f t="shared" si="136"/>
        <v>1.1162016054481831</v>
      </c>
      <c r="BW55" s="76">
        <f t="shared" si="136"/>
        <v>1.0829669582913803</v>
      </c>
      <c r="BX55" s="76">
        <f t="shared" si="136"/>
        <v>1.0645578965527982</v>
      </c>
      <c r="BY55" s="76">
        <f t="shared" si="136"/>
        <v>1.109587557708795</v>
      </c>
      <c r="BZ55" s="76">
        <f t="shared" si="136"/>
        <v>1.1036328586858279</v>
      </c>
      <c r="CA55" s="76">
        <f t="shared" si="136"/>
        <v>1.1107156532520006</v>
      </c>
      <c r="CB55" s="76">
        <f t="shared" si="136"/>
        <v>1.0971155953660905</v>
      </c>
      <c r="CC55" s="76">
        <f t="shared" si="137"/>
        <v>1.0948154267917829</v>
      </c>
      <c r="CD55" s="76">
        <f t="shared" si="138"/>
        <v>1.097170669159848</v>
      </c>
      <c r="CE55" s="76">
        <f t="shared" si="139"/>
        <v>1.1023565092613201</v>
      </c>
      <c r="CF55" s="76">
        <f t="shared" si="140"/>
        <v>1.0783130470232947</v>
      </c>
      <c r="CG55" s="76">
        <f t="shared" si="140"/>
        <v>1.1009740887650168</v>
      </c>
      <c r="CH55" s="76">
        <f t="shared" si="140"/>
        <v>1.1211534056910322</v>
      </c>
      <c r="CI55" s="76">
        <f t="shared" si="140"/>
        <v>1.1564395809512344</v>
      </c>
      <c r="CJ55" s="76">
        <f t="shared" si="140"/>
        <v>1.1838546959778153</v>
      </c>
      <c r="CK55" s="76">
        <f t="shared" si="140"/>
        <v>1.1367131792834237</v>
      </c>
      <c r="CL55" s="76">
        <f t="shared" si="140"/>
        <v>1.1303012145317255</v>
      </c>
      <c r="CM55" s="76">
        <f t="shared" si="140"/>
        <v>1.1231441094304841</v>
      </c>
      <c r="CN55" s="76">
        <f t="shared" si="140"/>
        <v>1.1261231113000085</v>
      </c>
      <c r="CO55" s="76">
        <f t="shared" si="140"/>
        <v>1.1231070180726701</v>
      </c>
      <c r="CP55" s="76">
        <f t="shared" si="140"/>
        <v>1.1174751453994134</v>
      </c>
      <c r="CQ55" s="76">
        <f t="shared" si="140"/>
        <v>1.1141424690945749</v>
      </c>
      <c r="CR55" s="76">
        <f t="shared" si="141"/>
        <v>1.1147205802136126</v>
      </c>
      <c r="CS55" s="76">
        <f t="shared" si="142"/>
        <v>1.0639173854329387</v>
      </c>
      <c r="CT55" s="76">
        <f t="shared" si="143"/>
        <v>1.0424704016544533</v>
      </c>
      <c r="CU55" s="76">
        <f t="shared" si="143"/>
        <v>1.0433369987924099</v>
      </c>
      <c r="CV55" s="76">
        <f t="shared" si="144"/>
        <v>1.0378115371451031</v>
      </c>
      <c r="CW55" s="76">
        <f t="shared" si="145"/>
        <v>1.0400084773223739</v>
      </c>
      <c r="CX55" s="76">
        <f t="shared" si="145"/>
        <v>1.0508837697325335</v>
      </c>
      <c r="CY55" s="76">
        <f t="shared" si="145"/>
        <v>1.0557676471949171</v>
      </c>
      <c r="CZ55" s="76">
        <f t="shared" si="145"/>
        <v>1.0603649155874573</v>
      </c>
      <c r="DA55" s="76">
        <f t="shared" si="145"/>
        <v>1.0655404573670308</v>
      </c>
      <c r="DB55" s="76">
        <f t="shared" si="145"/>
        <v>1.0565057168520942</v>
      </c>
      <c r="DC55" s="76">
        <f t="shared" si="145"/>
        <v>1.0594145594419739</v>
      </c>
      <c r="DD55" s="76">
        <f t="shared" si="145"/>
        <v>1.0609184126551134</v>
      </c>
      <c r="DE55" s="76">
        <f t="shared" si="145"/>
        <v>1.0647808299317305</v>
      </c>
      <c r="DF55" s="76">
        <f t="shared" si="145"/>
        <v>1.0733841934191604</v>
      </c>
      <c r="DG55" s="76">
        <f t="shared" si="145"/>
        <v>1.0760963515504582</v>
      </c>
      <c r="DH55" s="76">
        <f t="shared" si="145"/>
        <v>1.0935222071583632</v>
      </c>
      <c r="DI55" s="76">
        <f t="shared" si="145"/>
        <v>1.094043282638919</v>
      </c>
      <c r="DJ55" s="76">
        <f t="shared" si="145"/>
        <v>1.0822816014148804</v>
      </c>
      <c r="DK55" s="76">
        <f t="shared" si="145"/>
        <v>1.0822559922080393</v>
      </c>
      <c r="DL55" s="76">
        <f t="shared" si="145"/>
        <v>1.0817930107489995</v>
      </c>
      <c r="DM55" s="76">
        <f t="shared" si="145"/>
        <v>1.0817373360449669</v>
      </c>
      <c r="DN55" s="76">
        <f t="shared" si="146"/>
        <v>1.0962869849952697</v>
      </c>
      <c r="DO55" s="76">
        <f t="shared" si="147"/>
        <v>1.0981359417546621</v>
      </c>
      <c r="DP55" s="76">
        <f t="shared" si="147"/>
        <v>1.1009060265936998</v>
      </c>
      <c r="DQ55" s="76">
        <f t="shared" si="147"/>
        <v>1.1011514472970385</v>
      </c>
      <c r="DR55" s="76">
        <f t="shared" si="147"/>
        <v>1.09801936444698</v>
      </c>
      <c r="DS55" s="76">
        <f t="shared" si="147"/>
        <v>1.0923042651048671</v>
      </c>
      <c r="DT55" s="112">
        <f t="shared" si="108"/>
        <v>9.0624999876222967E-2</v>
      </c>
    </row>
    <row r="56" spans="2:124" s="59" customFormat="1" x14ac:dyDescent="0.3">
      <c r="B56" s="74" t="s">
        <v>3</v>
      </c>
      <c r="C56" s="74"/>
      <c r="D56" s="74"/>
      <c r="E56" s="74"/>
      <c r="F56" s="74"/>
      <c r="G56" s="74"/>
      <c r="H56" s="74"/>
      <c r="I56" s="74"/>
      <c r="J56" s="74"/>
      <c r="K56" s="74"/>
      <c r="L56" s="74"/>
      <c r="M56" s="74"/>
      <c r="N56" s="74"/>
      <c r="O56" s="74"/>
      <c r="P56" s="76">
        <f t="shared" si="135"/>
        <v>1.2806007860752386</v>
      </c>
      <c r="Q56" s="76">
        <f t="shared" si="135"/>
        <v>6.2735107037822306</v>
      </c>
      <c r="R56" s="76">
        <f t="shared" si="135"/>
        <v>6.4586688137412773</v>
      </c>
      <c r="S56" s="76">
        <f t="shared" si="135"/>
        <v>7.0817919454283089</v>
      </c>
      <c r="T56" s="76">
        <f t="shared" si="135"/>
        <v>10.216691162374593</v>
      </c>
      <c r="U56" s="76">
        <f t="shared" si="135"/>
        <v>11.171011404937962</v>
      </c>
      <c r="V56" s="76">
        <f t="shared" si="135"/>
        <v>11.25003089852923</v>
      </c>
      <c r="W56" s="76">
        <f t="shared" si="135"/>
        <v>11.126671062885919</v>
      </c>
      <c r="X56" s="76">
        <f t="shared" si="135"/>
        <v>10.996093518792541</v>
      </c>
      <c r="Y56" s="76">
        <f t="shared" si="135"/>
        <v>11.01706006076186</v>
      </c>
      <c r="Z56" s="76">
        <f t="shared" si="135"/>
        <v>10.727950880817122</v>
      </c>
      <c r="AA56" s="76">
        <f t="shared" si="135"/>
        <v>10.733891213389121</v>
      </c>
      <c r="AB56" s="76">
        <f t="shared" si="135"/>
        <v>8.791844787898718</v>
      </c>
      <c r="AC56" s="76">
        <f t="shared" si="135"/>
        <v>1.7180267102752793</v>
      </c>
      <c r="AD56" s="76">
        <f t="shared" si="135"/>
        <v>1.6460523581965509</v>
      </c>
      <c r="AE56" s="76">
        <f t="shared" si="135"/>
        <v>1.5629764098954328</v>
      </c>
      <c r="AF56" s="76">
        <f t="shared" si="135"/>
        <v>1.1051156797868416</v>
      </c>
      <c r="AG56" s="76">
        <f t="shared" si="135"/>
        <v>1.0156001952127989</v>
      </c>
      <c r="AH56" s="76">
        <f t="shared" si="135"/>
        <v>0.99399059588679906</v>
      </c>
      <c r="AI56" s="76">
        <f t="shared" si="135"/>
        <v>0.95112713088080003</v>
      </c>
      <c r="AJ56" s="76">
        <f t="shared" si="135"/>
        <v>0.94811577196561503</v>
      </c>
      <c r="AK56" s="76">
        <f t="shared" si="135"/>
        <v>0.93573671036443085</v>
      </c>
      <c r="AL56" s="76">
        <f t="shared" si="135"/>
        <v>0.94147285992426022</v>
      </c>
      <c r="AM56" s="76">
        <f t="shared" si="135"/>
        <v>1.1776409136976689</v>
      </c>
      <c r="AN56" s="76">
        <f t="shared" si="135"/>
        <v>1.4084318272491523</v>
      </c>
      <c r="AO56" s="76">
        <f t="shared" si="135"/>
        <v>1.4488977447235161</v>
      </c>
      <c r="AP56" s="76">
        <f t="shared" si="135"/>
        <v>1.4083648366351318</v>
      </c>
      <c r="AQ56" s="76">
        <f t="shared" si="135"/>
        <v>1.3227083370369712</v>
      </c>
      <c r="AR56" s="76">
        <f t="shared" si="135"/>
        <v>1.2220310492565949</v>
      </c>
      <c r="AS56" s="76">
        <f t="shared" si="135"/>
        <v>1.2394779285051478</v>
      </c>
      <c r="AT56" s="76">
        <f t="shared" si="135"/>
        <v>1.2649844711915736</v>
      </c>
      <c r="AU56" s="76">
        <f t="shared" si="135"/>
        <v>1.2980859102830633</v>
      </c>
      <c r="AV56" s="76">
        <f t="shared" si="135"/>
        <v>1.3050698308163962</v>
      </c>
      <c r="AW56" s="76">
        <f t="shared" si="135"/>
        <v>1.2952734485689996</v>
      </c>
      <c r="AX56" s="76">
        <f t="shared" si="135"/>
        <v>1.3422682286636289</v>
      </c>
      <c r="AY56" s="76">
        <f t="shared" si="135"/>
        <v>1.0674672527627722</v>
      </c>
      <c r="AZ56" s="76">
        <f t="shared" si="135"/>
        <v>1.0745081550003319</v>
      </c>
      <c r="BA56" s="76">
        <f t="shared" si="135"/>
        <v>1.0637115352609865</v>
      </c>
      <c r="BB56" s="76">
        <f t="shared" si="135"/>
        <v>0.49265081513215087</v>
      </c>
      <c r="BC56" s="76">
        <f t="shared" si="135"/>
        <v>0.48787022144965975</v>
      </c>
      <c r="BD56" s="76">
        <f t="shared" si="135"/>
        <v>0.50561095235669262</v>
      </c>
      <c r="BE56" s="76">
        <f t="shared" si="135"/>
        <v>0.51217218867672287</v>
      </c>
      <c r="BF56" s="76">
        <f t="shared" si="135"/>
        <v>0.50439048684164545</v>
      </c>
      <c r="BG56" s="76">
        <f t="shared" si="135"/>
        <v>0.50338417228513455</v>
      </c>
      <c r="BH56" s="76">
        <f t="shared" si="135"/>
        <v>0.50548776508972271</v>
      </c>
      <c r="BI56" s="76">
        <f t="shared" si="135"/>
        <v>0.51510603760211071</v>
      </c>
      <c r="BJ56" s="76">
        <f t="shared" si="135"/>
        <v>0.50285281344970334</v>
      </c>
      <c r="BK56" s="76">
        <f t="shared" si="135"/>
        <v>0.50172199230168146</v>
      </c>
      <c r="BL56" s="76">
        <f t="shared" si="135"/>
        <v>0.50022037410048237</v>
      </c>
      <c r="BM56" s="76">
        <f t="shared" si="135"/>
        <v>0.5072980528918406</v>
      </c>
      <c r="BN56" s="76">
        <f t="shared" si="135"/>
        <v>1.1487670211120915</v>
      </c>
      <c r="BO56" s="76">
        <f t="shared" si="135"/>
        <v>1.1597274513765174</v>
      </c>
      <c r="BP56" s="76">
        <f t="shared" si="135"/>
        <v>1.1350462581295229</v>
      </c>
      <c r="BQ56" s="76">
        <f>BQ21/BE21</f>
        <v>1.0885116675657334</v>
      </c>
      <c r="BR56" s="76">
        <f t="shared" si="136"/>
        <v>1.088569770563933</v>
      </c>
      <c r="BS56" s="76">
        <f t="shared" si="136"/>
        <v>1.0905047983147382</v>
      </c>
      <c r="BT56" s="76">
        <f t="shared" si="136"/>
        <v>1.1679790703878692</v>
      </c>
      <c r="BU56" s="76">
        <f t="shared" si="136"/>
        <v>1.259207665126393</v>
      </c>
      <c r="BV56" s="76">
        <f t="shared" si="136"/>
        <v>1.2588739341599118</v>
      </c>
      <c r="BW56" s="76">
        <f t="shared" si="136"/>
        <v>1.1774177599050695</v>
      </c>
      <c r="BX56" s="76">
        <f t="shared" si="136"/>
        <v>1.0515818771718901</v>
      </c>
      <c r="BY56" s="76">
        <f t="shared" si="136"/>
        <v>1.211835174378495</v>
      </c>
      <c r="BZ56" s="76">
        <f t="shared" si="136"/>
        <v>1.2082554714471225</v>
      </c>
      <c r="CA56" s="76">
        <f t="shared" si="136"/>
        <v>1.2194992556931556</v>
      </c>
      <c r="CB56" s="76">
        <f t="shared" si="136"/>
        <v>1.2469071041779314</v>
      </c>
      <c r="CC56" s="76">
        <f t="shared" si="137"/>
        <v>1.2458855219931739</v>
      </c>
      <c r="CD56" s="76">
        <f t="shared" si="138"/>
        <v>1.2341207641447134</v>
      </c>
      <c r="CE56" s="76">
        <f t="shared" si="139"/>
        <v>1.2448387430143171</v>
      </c>
      <c r="CF56" s="76">
        <f t="shared" si="140"/>
        <v>1.1581809339954907</v>
      </c>
      <c r="CG56" s="76">
        <f t="shared" si="140"/>
        <v>1.0571557702166698</v>
      </c>
      <c r="CH56" s="76">
        <f t="shared" si="140"/>
        <v>1.0569143743564369</v>
      </c>
      <c r="CI56" s="76">
        <f t="shared" si="140"/>
        <v>1.110853711454207</v>
      </c>
      <c r="CJ56" s="76">
        <f t="shared" si="140"/>
        <v>1.2506068816463329</v>
      </c>
      <c r="CK56" s="76">
        <f t="shared" si="140"/>
        <v>1.0750524080932831</v>
      </c>
      <c r="CL56" s="76">
        <f t="shared" si="140"/>
        <v>1.04852778305689</v>
      </c>
      <c r="CM56" s="76">
        <f t="shared" si="140"/>
        <v>1.0373215248063474</v>
      </c>
      <c r="CN56" s="76">
        <f t="shared" si="140"/>
        <v>1.0382051414813473</v>
      </c>
      <c r="CO56" s="76">
        <f t="shared" si="140"/>
        <v>1.0047732390661388</v>
      </c>
      <c r="CP56" s="76">
        <f t="shared" si="140"/>
        <v>1.0078783815148156</v>
      </c>
      <c r="CQ56" s="76">
        <f t="shared" si="140"/>
        <v>1.0002873710023501</v>
      </c>
      <c r="CR56" s="76">
        <f t="shared" si="141"/>
        <v>1.0074370491010649</v>
      </c>
      <c r="CS56" s="76">
        <f t="shared" si="142"/>
        <v>1.0206359233522846</v>
      </c>
      <c r="CT56" s="76">
        <f t="shared" si="143"/>
        <v>1.0170810400455494</v>
      </c>
      <c r="CU56" s="76">
        <f t="shared" si="143"/>
        <v>1.0297188147756124</v>
      </c>
      <c r="CV56" s="76">
        <f t="shared" si="144"/>
        <v>1.0390595159825928</v>
      </c>
      <c r="CW56" s="76">
        <f t="shared" si="145"/>
        <v>1.0382705666137122</v>
      </c>
      <c r="CX56" s="76">
        <f t="shared" si="145"/>
        <v>1.0499131239140489</v>
      </c>
      <c r="CY56" s="76">
        <f t="shared" si="145"/>
        <v>1.062969060033425</v>
      </c>
      <c r="CZ56" s="76">
        <f t="shared" si="145"/>
        <v>1.0756369575652542</v>
      </c>
      <c r="DA56" s="76">
        <f t="shared" si="145"/>
        <v>1.0876747141041931</v>
      </c>
      <c r="DB56" s="76">
        <f t="shared" si="145"/>
        <v>1.0835348301669545</v>
      </c>
      <c r="DC56" s="76">
        <f t="shared" si="145"/>
        <v>1.0927367097173719</v>
      </c>
      <c r="DD56" s="76">
        <f t="shared" si="145"/>
        <v>1.0948754380979444</v>
      </c>
      <c r="DE56" s="76">
        <f t="shared" si="145"/>
        <v>1.0964045238854399</v>
      </c>
      <c r="DF56" s="76">
        <f t="shared" si="145"/>
        <v>1.1041239037133794</v>
      </c>
      <c r="DG56" s="76">
        <f t="shared" si="145"/>
        <v>1.1084509110488381</v>
      </c>
      <c r="DH56" s="76">
        <f t="shared" si="145"/>
        <v>1.1047166798237948</v>
      </c>
      <c r="DI56" s="76">
        <f t="shared" si="145"/>
        <v>1.1130038762015624</v>
      </c>
      <c r="DJ56" s="76">
        <f t="shared" si="145"/>
        <v>1.1154871892561196</v>
      </c>
      <c r="DK56" s="76">
        <f t="shared" si="145"/>
        <v>1.122481907420166</v>
      </c>
      <c r="DL56" s="76">
        <f t="shared" si="145"/>
        <v>1.1212212537091988</v>
      </c>
      <c r="DM56" s="76">
        <f t="shared" si="145"/>
        <v>1.1147618935800498</v>
      </c>
      <c r="DN56" s="76">
        <f t="shared" si="146"/>
        <v>1.133066491920963</v>
      </c>
      <c r="DO56" s="76">
        <f t="shared" si="147"/>
        <v>1.1349298621781576</v>
      </c>
      <c r="DP56" s="76">
        <f t="shared" si="147"/>
        <v>1.1302003126099469</v>
      </c>
      <c r="DQ56" s="76">
        <f t="shared" si="147"/>
        <v>1.1243364068175468</v>
      </c>
      <c r="DR56" s="76">
        <f t="shared" si="147"/>
        <v>1.1141513154188496</v>
      </c>
      <c r="DS56" s="76">
        <f t="shared" si="147"/>
        <v>1.0982319789360961</v>
      </c>
      <c r="DT56" s="112">
        <f t="shared" si="108"/>
        <v>0.11803017086888778</v>
      </c>
    </row>
    <row r="57" spans="2:124" s="59" customFormat="1" x14ac:dyDescent="0.3"/>
    <row r="58" spans="2:124" s="59" customFormat="1" x14ac:dyDescent="0.3"/>
    <row r="59" spans="2:124" s="59" customFormat="1" x14ac:dyDescent="0.3">
      <c r="CZ59" s="108"/>
      <c r="DA59" s="108"/>
      <c r="DB59" s="108"/>
      <c r="DC59" s="108"/>
      <c r="DD59" s="108"/>
      <c r="DE59" s="108"/>
      <c r="DF59" s="108"/>
      <c r="DG59" s="108"/>
      <c r="DH59" s="108"/>
      <c r="DI59" s="108"/>
      <c r="DJ59" s="108"/>
      <c r="DK59" s="108"/>
      <c r="DL59" s="108"/>
      <c r="DM59" s="108"/>
      <c r="DN59" s="108"/>
      <c r="DO59" s="108"/>
      <c r="DP59" s="108"/>
      <c r="DQ59" s="108"/>
      <c r="DR59" s="108"/>
      <c r="DS59" s="108"/>
    </row>
    <row r="60" spans="2:124" s="59" customFormat="1" x14ac:dyDescent="0.3"/>
    <row r="61" spans="2:124" s="59" customFormat="1" x14ac:dyDescent="0.3"/>
    <row r="62" spans="2:124" s="59" customFormat="1" x14ac:dyDescent="0.3"/>
    <row r="63" spans="2:124" s="59" customFormat="1" x14ac:dyDescent="0.3"/>
    <row r="64" spans="2:124" s="59" customFormat="1" x14ac:dyDescent="0.3"/>
    <row r="65" s="59" customFormat="1" x14ac:dyDescent="0.3"/>
    <row r="66" s="59" customFormat="1" x14ac:dyDescent="0.3"/>
    <row r="67" s="59" customFormat="1" x14ac:dyDescent="0.3"/>
    <row r="68" s="59" customFormat="1" x14ac:dyDescent="0.3"/>
    <row r="69" s="59" customFormat="1" x14ac:dyDescent="0.3"/>
    <row r="70" s="59" customFormat="1" x14ac:dyDescent="0.3"/>
    <row r="71" s="59" customFormat="1" x14ac:dyDescent="0.3"/>
    <row r="72" s="59" customFormat="1" x14ac:dyDescent="0.3"/>
    <row r="73" s="59" customFormat="1" x14ac:dyDescent="0.3"/>
    <row r="74" s="59" customFormat="1" x14ac:dyDescent="0.3"/>
    <row r="75" s="59" customFormat="1" x14ac:dyDescent="0.3"/>
    <row r="76" s="59" customFormat="1" x14ac:dyDescent="0.3"/>
    <row r="77" s="59" customFormat="1" x14ac:dyDescent="0.3"/>
    <row r="78" s="59" customFormat="1" x14ac:dyDescent="0.3"/>
    <row r="79" s="59" customFormat="1" x14ac:dyDescent="0.3"/>
    <row r="80" s="59" customFormat="1" x14ac:dyDescent="0.3"/>
    <row r="81" spans="4:127" s="59" customFormat="1" x14ac:dyDescent="0.3"/>
    <row r="82" spans="4:127" s="59" customFormat="1" x14ac:dyDescent="0.3"/>
    <row r="83" spans="4:127" s="59" customFormat="1" x14ac:dyDescent="0.3">
      <c r="D83" s="62"/>
      <c r="E83" s="62"/>
      <c r="F83" s="62"/>
      <c r="G83" s="62"/>
      <c r="H83" s="62"/>
      <c r="I83" s="62"/>
      <c r="J83" s="62"/>
      <c r="K83" s="62"/>
      <c r="L83" s="62"/>
      <c r="M83" s="62"/>
      <c r="N83" s="62"/>
      <c r="O83" s="62"/>
      <c r="DV83" s="62"/>
      <c r="DW83" s="62"/>
    </row>
    <row r="84" spans="4:127" s="59" customFormat="1" x14ac:dyDescent="0.3">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DT84" s="62"/>
      <c r="DU84" s="62"/>
      <c r="DV84" s="62"/>
      <c r="DW84" s="62"/>
    </row>
    <row r="85" spans="4:127" s="59" customFormat="1" x14ac:dyDescent="0.3">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row>
    <row r="86" spans="4:127" s="59" customFormat="1" x14ac:dyDescent="0.3">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row>
    <row r="87" spans="4:127" s="59" customFormat="1" x14ac:dyDescent="0.3">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row>
    <row r="88" spans="4:127" s="59" customFormat="1" x14ac:dyDescent="0.3">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row>
    <row r="89" spans="4:127" s="59" customFormat="1" x14ac:dyDescent="0.3">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row>
    <row r="90" spans="4:127" s="59" customFormat="1" x14ac:dyDescent="0.3">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row>
    <row r="91" spans="4:127" s="59" customFormat="1" x14ac:dyDescent="0.3">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row>
    <row r="92" spans="4:127" s="59" customFormat="1" x14ac:dyDescent="0.3">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row>
    <row r="93" spans="4:127" s="59" customFormat="1" x14ac:dyDescent="0.3">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row>
    <row r="94" spans="4:127" s="59" customFormat="1" x14ac:dyDescent="0.3">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row>
    <row r="95" spans="4:127" s="59" customFormat="1" x14ac:dyDescent="0.3">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row>
    <row r="96" spans="4:127"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43" customFormat="1" x14ac:dyDescent="0.3"/>
    <row r="128" s="43" customFormat="1" x14ac:dyDescent="0.3"/>
    <row r="129" s="43" customFormat="1" x14ac:dyDescent="0.3"/>
    <row r="130" s="43" customFormat="1" x14ac:dyDescent="0.3"/>
    <row r="131" s="43" customFormat="1" x14ac:dyDescent="0.3"/>
    <row r="132" s="43" customFormat="1" x14ac:dyDescent="0.3"/>
    <row r="133" s="43" customFormat="1" x14ac:dyDescent="0.3"/>
    <row r="134" s="43" customFormat="1" x14ac:dyDescent="0.3"/>
  </sheetData>
  <mergeCells count="31">
    <mergeCell ref="B33:Q33"/>
    <mergeCell ref="B34:Q34"/>
    <mergeCell ref="DT9:DT10"/>
    <mergeCell ref="DU9:DU10"/>
    <mergeCell ref="DV9:DV10"/>
    <mergeCell ref="CV9:DG9"/>
    <mergeCell ref="DW9:DW10"/>
    <mergeCell ref="B20:C20"/>
    <mergeCell ref="B21:C21"/>
    <mergeCell ref="P9:AA9"/>
    <mergeCell ref="AB9:AM9"/>
    <mergeCell ref="AN9:AY9"/>
    <mergeCell ref="AZ9:BK9"/>
    <mergeCell ref="BL9:BW9"/>
    <mergeCell ref="D9:O9"/>
    <mergeCell ref="BX9:CI9"/>
    <mergeCell ref="CJ9:CU9"/>
    <mergeCell ref="DH9:DS9"/>
    <mergeCell ref="D3:K3"/>
    <mergeCell ref="D4:K4"/>
    <mergeCell ref="D5:K5"/>
    <mergeCell ref="D6:K6"/>
    <mergeCell ref="D7:E7"/>
    <mergeCell ref="B44:C44"/>
    <mergeCell ref="B45:C45"/>
    <mergeCell ref="B46:C46"/>
    <mergeCell ref="B39:C39"/>
    <mergeCell ref="B40:C40"/>
    <mergeCell ref="B41:C41"/>
    <mergeCell ref="B42:C42"/>
    <mergeCell ref="B43:C43"/>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5"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DU11 DW11</xm:sqref>
        </x14:conditionalFormatting>
        <x14:conditionalFormatting xmlns:xm="http://schemas.microsoft.com/office/excel/2006/main">
          <x14:cfRule type="iconSet" priority="74"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DU20:DU21 DU13:DU16</xm:sqref>
        </x14:conditionalFormatting>
        <x14:conditionalFormatting xmlns:xm="http://schemas.microsoft.com/office/excel/2006/main">
          <x14:cfRule type="iconSet" priority="73"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DW20:DW21 DW13:DW18</xm:sqref>
        </x14:conditionalFormatting>
        <x14:conditionalFormatting xmlns:xm="http://schemas.microsoft.com/office/excel/2006/main">
          <x14:cfRule type="iconSet" priority="70"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DU19</xm:sqref>
        </x14:conditionalFormatting>
        <x14:conditionalFormatting xmlns:xm="http://schemas.microsoft.com/office/excel/2006/main">
          <x14:cfRule type="iconSet" priority="69"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DW19</xm:sqref>
        </x14:conditionalFormatting>
        <x14:conditionalFormatting xmlns:xm="http://schemas.microsoft.com/office/excel/2006/main">
          <x14:cfRule type="iconSet" priority="63"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DU17:DU18</xm:sqref>
        </x14:conditionalFormatting>
        <x14:conditionalFormatting xmlns:xm="http://schemas.microsoft.com/office/excel/2006/main">
          <x14:cfRule type="iconSet" priority="11" id="{86690851-75AE-45B6-94FC-696B3EE8DF8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DT11</xm:sqref>
        </x14:conditionalFormatting>
        <x14:conditionalFormatting xmlns:xm="http://schemas.microsoft.com/office/excel/2006/main">
          <x14:cfRule type="iconSet" priority="10" id="{D28967CE-9ACD-4D6C-84A5-013A40FE55C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DT13:DT16</xm:sqref>
        </x14:conditionalFormatting>
        <x14:conditionalFormatting xmlns:xm="http://schemas.microsoft.com/office/excel/2006/main">
          <x14:cfRule type="iconSet" priority="9" id="{E645B286-F952-4C07-845D-B46DB8EB7F6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DT19:DT21</xm:sqref>
        </x14:conditionalFormatting>
        <x14:conditionalFormatting xmlns:xm="http://schemas.microsoft.com/office/excel/2006/main">
          <x14:cfRule type="iconSet" priority="8" id="{4122E6D6-5D6E-484A-BF83-D2172733571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DT17:DT18</xm:sqref>
        </x14:conditionalFormatting>
        <x14:conditionalFormatting xmlns:xm="http://schemas.microsoft.com/office/excel/2006/main">
          <x14:cfRule type="iconSet" priority="4" id="{41650A08-FF7C-485F-8B85-04112838760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DV11</xm:sqref>
        </x14:conditionalFormatting>
        <x14:conditionalFormatting xmlns:xm="http://schemas.microsoft.com/office/excel/2006/main">
          <x14:cfRule type="iconSet" priority="3" id="{7BCACCD7-E6AD-4077-997E-8034F41FFBC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DV13:DV16</xm:sqref>
        </x14:conditionalFormatting>
        <x14:conditionalFormatting xmlns:xm="http://schemas.microsoft.com/office/excel/2006/main">
          <x14:cfRule type="iconSet" priority="2" id="{D03D897A-9D96-4220-B5DB-245477E5E7F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DV19:DV21</xm:sqref>
        </x14:conditionalFormatting>
        <x14:conditionalFormatting xmlns:xm="http://schemas.microsoft.com/office/excel/2006/main">
          <x14:cfRule type="iconSet" priority="1" id="{F74051C7-98D8-4C20-AE42-486C38E830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DV17:DV18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ÍNDICE</vt:lpstr>
      <vt:lpstr>Privado</vt:lpstr>
      <vt:lpstr>Popular y Solidario</vt:lpstr>
      <vt:lpstr>'Popular y Solidario'!Área_de_impresión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2015-10-05T16:23:46Z</cp:lastPrinted>
  <dcterms:created xsi:type="dcterms:W3CDTF">2012-07-11T15:55:46Z</dcterms:created>
  <dcterms:modified xsi:type="dcterms:W3CDTF">2023-02-02T14:17:54Z</dcterms:modified>
</cp:coreProperties>
</file>