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Riesgos$\3) UNIDAD_DE_ANALISIS_Y_EVALUACION_DE_RIESGOS\7) PUBLICACIONES_ESTADÍSTICAS_MENSUALES\PEMS FINALES\2022\AGOSTO\"/>
    </mc:Choice>
  </mc:AlternateContent>
  <bookViews>
    <workbookView xWindow="0" yWindow="0" windowWidth="23040" windowHeight="8796"/>
  </bookViews>
  <sheets>
    <sheet name="ÍNDICE" sheetId="2" r:id="rId1"/>
    <sheet name="Privado" sheetId="8" r:id="rId2"/>
    <sheet name="Popular y Solidario" sheetId="7" r:id="rId3"/>
  </sheets>
  <definedNames>
    <definedName name="_xlnm.Print_Area" localSheetId="2">'Popular y Solidario'!$B$2:$DP$23</definedName>
  </definedNames>
  <calcPr calcId="152511"/>
</workbook>
</file>

<file path=xl/calcChain.xml><?xml version="1.0" encoding="utf-8"?>
<calcChain xmlns="http://schemas.openxmlformats.org/spreadsheetml/2006/main">
  <c r="DO58" i="8" l="1"/>
  <c r="DN58" i="8"/>
  <c r="DM58" i="8"/>
  <c r="DL58" i="8"/>
  <c r="DK58" i="8"/>
  <c r="DJ58" i="8"/>
  <c r="DI58" i="8"/>
  <c r="DC58" i="8"/>
  <c r="DA58" i="8"/>
  <c r="CU58" i="8"/>
  <c r="CS58" i="8"/>
  <c r="CM58" i="8"/>
  <c r="CK58" i="8"/>
  <c r="CE58" i="8"/>
  <c r="CC58" i="8"/>
  <c r="BW58" i="8"/>
  <c r="BU58" i="8"/>
  <c r="BO58" i="8"/>
  <c r="BM58" i="8"/>
  <c r="BG58" i="8"/>
  <c r="BE58" i="8"/>
  <c r="AY58" i="8"/>
  <c r="AW58" i="8"/>
  <c r="AQ58" i="8"/>
  <c r="AO58" i="8"/>
  <c r="AI58" i="8"/>
  <c r="AG58" i="8"/>
  <c r="AA58" i="8"/>
  <c r="Y58" i="8"/>
  <c r="S58" i="8"/>
  <c r="Q58" i="8"/>
  <c r="DO57" i="8"/>
  <c r="DN57" i="8"/>
  <c r="DM57" i="8"/>
  <c r="DL57" i="8"/>
  <c r="DK57" i="8"/>
  <c r="DJ57" i="8"/>
  <c r="DI57" i="8"/>
  <c r="DH57" i="8"/>
  <c r="DG57" i="8"/>
  <c r="DF57" i="8"/>
  <c r="DE57" i="8"/>
  <c r="DD57" i="8"/>
  <c r="DP57" i="8" s="1"/>
  <c r="DS20" i="8" s="1"/>
  <c r="DC57" i="8"/>
  <c r="DB57" i="8"/>
  <c r="DA57" i="8"/>
  <c r="CZ57" i="8"/>
  <c r="CY57" i="8"/>
  <c r="CX57" i="8"/>
  <c r="CW57" i="8"/>
  <c r="CV57" i="8"/>
  <c r="CU57" i="8"/>
  <c r="CT57" i="8"/>
  <c r="CS57" i="8"/>
  <c r="CR57" i="8"/>
  <c r="CQ57" i="8"/>
  <c r="CP57" i="8"/>
  <c r="CO57" i="8"/>
  <c r="CN57" i="8"/>
  <c r="CM57" i="8"/>
  <c r="CL57" i="8"/>
  <c r="CK57" i="8"/>
  <c r="CJ57" i="8"/>
  <c r="CI57" i="8"/>
  <c r="CH57" i="8"/>
  <c r="CG57" i="8"/>
  <c r="CF57" i="8"/>
  <c r="CE57" i="8"/>
  <c r="CD57" i="8"/>
  <c r="CC57" i="8"/>
  <c r="CB57" i="8"/>
  <c r="CA57" i="8"/>
  <c r="BZ57" i="8"/>
  <c r="BY57" i="8"/>
  <c r="BX57" i="8"/>
  <c r="BW57" i="8"/>
  <c r="BV57" i="8"/>
  <c r="BU57" i="8"/>
  <c r="BT57" i="8"/>
  <c r="BS57" i="8"/>
  <c r="BR57" i="8"/>
  <c r="BQ57" i="8"/>
  <c r="BP57" i="8"/>
  <c r="BO57" i="8"/>
  <c r="BN57" i="8"/>
  <c r="BM57" i="8"/>
  <c r="BL57" i="8"/>
  <c r="BK57" i="8"/>
  <c r="BJ57" i="8"/>
  <c r="BI57" i="8"/>
  <c r="BH57" i="8"/>
  <c r="BG57" i="8"/>
  <c r="BF57" i="8"/>
  <c r="BE57" i="8"/>
  <c r="BD57" i="8"/>
  <c r="BC57" i="8"/>
  <c r="BB57" i="8"/>
  <c r="BA57" i="8"/>
  <c r="AZ57" i="8"/>
  <c r="AY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R57" i="8"/>
  <c r="Q57" i="8"/>
  <c r="P57" i="8"/>
  <c r="DO56" i="8"/>
  <c r="DN56" i="8"/>
  <c r="DM56" i="8"/>
  <c r="DL56" i="8"/>
  <c r="DK56" i="8"/>
  <c r="DJ56" i="8"/>
  <c r="DI56" i="8"/>
  <c r="DH56" i="8"/>
  <c r="DG56" i="8"/>
  <c r="DF56" i="8"/>
  <c r="DE56" i="8"/>
  <c r="DD56" i="8"/>
  <c r="DC56" i="8"/>
  <c r="DP56" i="8" s="1"/>
  <c r="DS19" i="8" s="1"/>
  <c r="DB56" i="8"/>
  <c r="DA56" i="8"/>
  <c r="CZ56" i="8"/>
  <c r="CY56" i="8"/>
  <c r="CX56" i="8"/>
  <c r="CW56" i="8"/>
  <c r="CV56" i="8"/>
  <c r="CU56" i="8"/>
  <c r="CT56" i="8"/>
  <c r="CS56" i="8"/>
  <c r="CR56" i="8"/>
  <c r="CQ56" i="8"/>
  <c r="CP56" i="8"/>
  <c r="CO56" i="8"/>
  <c r="CN56" i="8"/>
  <c r="CM56" i="8"/>
  <c r="CL56" i="8"/>
  <c r="CK56" i="8"/>
  <c r="CJ56" i="8"/>
  <c r="CI56" i="8"/>
  <c r="CH56" i="8"/>
  <c r="CG56" i="8"/>
  <c r="CF56" i="8"/>
  <c r="CE56" i="8"/>
  <c r="CD56" i="8"/>
  <c r="CC56" i="8"/>
  <c r="CB56" i="8"/>
  <c r="CA56" i="8"/>
  <c r="BZ56" i="8"/>
  <c r="BY56" i="8"/>
  <c r="BX56" i="8"/>
  <c r="BW56" i="8"/>
  <c r="BV56" i="8"/>
  <c r="BU56" i="8"/>
  <c r="BT56" i="8"/>
  <c r="BS56" i="8"/>
  <c r="BR56" i="8"/>
  <c r="BQ56" i="8"/>
  <c r="BP56" i="8"/>
  <c r="BO56" i="8"/>
  <c r="BN56" i="8"/>
  <c r="BM56" i="8"/>
  <c r="BL56" i="8"/>
  <c r="BK56" i="8"/>
  <c r="BJ56" i="8"/>
  <c r="BI56" i="8"/>
  <c r="BH56" i="8"/>
  <c r="BG56" i="8"/>
  <c r="BF56" i="8"/>
  <c r="BE56" i="8"/>
  <c r="BD56" i="8"/>
  <c r="BC56" i="8"/>
  <c r="BB56" i="8"/>
  <c r="BA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R56" i="8"/>
  <c r="Q56" i="8"/>
  <c r="P56" i="8"/>
  <c r="CV55" i="8"/>
  <c r="CP55" i="8"/>
  <c r="CN55" i="8"/>
  <c r="CH55" i="8"/>
  <c r="CF55" i="8"/>
  <c r="BZ55" i="8"/>
  <c r="BX55" i="8"/>
  <c r="BP55" i="8"/>
  <c r="BJ55" i="8"/>
  <c r="BH55" i="8"/>
  <c r="BB55" i="8"/>
  <c r="AZ55" i="8"/>
  <c r="AT55" i="8"/>
  <c r="AR55" i="8"/>
  <c r="AL55" i="8"/>
  <c r="AJ55" i="8"/>
  <c r="AD55" i="8"/>
  <c r="AB55" i="8"/>
  <c r="V55" i="8"/>
  <c r="T55" i="8"/>
  <c r="DE54" i="8"/>
  <c r="CW54" i="8"/>
  <c r="CV54" i="8"/>
  <c r="CU54" i="8"/>
  <c r="CT54" i="8"/>
  <c r="CS54" i="8"/>
  <c r="CR54" i="8"/>
  <c r="CQ54" i="8"/>
  <c r="CP54" i="8"/>
  <c r="CO54" i="8"/>
  <c r="CN54" i="8"/>
  <c r="CM54" i="8"/>
  <c r="CL54" i="8"/>
  <c r="CK54" i="8"/>
  <c r="CJ54" i="8"/>
  <c r="CI54" i="8"/>
  <c r="CH54" i="8"/>
  <c r="CG54" i="8"/>
  <c r="CF54" i="8"/>
  <c r="CE54" i="8"/>
  <c r="CC54" i="8"/>
  <c r="CB54" i="8"/>
  <c r="CA54" i="8"/>
  <c r="BZ54" i="8"/>
  <c r="BY54" i="8"/>
  <c r="BX54" i="8"/>
  <c r="BW54" i="8"/>
  <c r="BV54" i="8"/>
  <c r="BU54" i="8"/>
  <c r="BT54" i="8"/>
  <c r="BS54" i="8"/>
  <c r="BQ54" i="8"/>
  <c r="BP54" i="8"/>
  <c r="BO54" i="8"/>
  <c r="BN54" i="8"/>
  <c r="BM54" i="8"/>
  <c r="BL54" i="8"/>
  <c r="BK54" i="8"/>
  <c r="BJ54" i="8"/>
  <c r="BI54" i="8"/>
  <c r="BH54" i="8"/>
  <c r="BG54" i="8"/>
  <c r="BF54" i="8"/>
  <c r="BE54" i="8"/>
  <c r="BD54" i="8"/>
  <c r="BC54" i="8"/>
  <c r="BB54" i="8"/>
  <c r="BA54" i="8"/>
  <c r="AZ54" i="8"/>
  <c r="AY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R54" i="8"/>
  <c r="Q54" i="8"/>
  <c r="P54" i="8"/>
  <c r="DF53" i="8"/>
  <c r="CZ53" i="8"/>
  <c r="CX53" i="8"/>
  <c r="CW53" i="8"/>
  <c r="CV53" i="8"/>
  <c r="CU53" i="8"/>
  <c r="CT53" i="8"/>
  <c r="CS53" i="8"/>
  <c r="CR53" i="8"/>
  <c r="CQ53" i="8"/>
  <c r="CP53" i="8"/>
  <c r="CO53" i="8"/>
  <c r="CN53" i="8"/>
  <c r="CM53" i="8"/>
  <c r="CL53" i="8"/>
  <c r="CK53" i="8"/>
  <c r="CJ53" i="8"/>
  <c r="CI53" i="8"/>
  <c r="CH53" i="8"/>
  <c r="CG53" i="8"/>
  <c r="CF53" i="8"/>
  <c r="CE53" i="8"/>
  <c r="CC53" i="8"/>
  <c r="CB53" i="8"/>
  <c r="CA53" i="8"/>
  <c r="BZ53" i="8"/>
  <c r="BY53" i="8"/>
  <c r="BX53" i="8"/>
  <c r="BW53" i="8"/>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DO52" i="8"/>
  <c r="DI52" i="8"/>
  <c r="DG52" i="8"/>
  <c r="DA52" i="8"/>
  <c r="CY52" i="8"/>
  <c r="CW52" i="8"/>
  <c r="CV52" i="8"/>
  <c r="CU52" i="8"/>
  <c r="CT52" i="8"/>
  <c r="CS52" i="8"/>
  <c r="CR52" i="8"/>
  <c r="CQ52" i="8"/>
  <c r="CP52" i="8"/>
  <c r="CO52" i="8"/>
  <c r="CN52" i="8"/>
  <c r="CM52" i="8"/>
  <c r="CL52" i="8"/>
  <c r="CK52" i="8"/>
  <c r="CJ52" i="8"/>
  <c r="CI52" i="8"/>
  <c r="CH52" i="8"/>
  <c r="CG52" i="8"/>
  <c r="CF52" i="8"/>
  <c r="CE52" i="8"/>
  <c r="CC52" i="8"/>
  <c r="CB52" i="8"/>
  <c r="CA52" i="8"/>
  <c r="BZ52" i="8"/>
  <c r="BY52" i="8"/>
  <c r="BX52" i="8"/>
  <c r="BW52" i="8"/>
  <c r="BV52" i="8"/>
  <c r="BU52" i="8"/>
  <c r="BT52" i="8"/>
  <c r="BS52" i="8"/>
  <c r="BQ52" i="8"/>
  <c r="BP52" i="8"/>
  <c r="BO52" i="8"/>
  <c r="BN52" i="8"/>
  <c r="BM52" i="8"/>
  <c r="BL52" i="8"/>
  <c r="BK52" i="8"/>
  <c r="BJ52" i="8"/>
  <c r="BI52" i="8"/>
  <c r="BH52" i="8"/>
  <c r="BG52" i="8"/>
  <c r="BF52" i="8"/>
  <c r="BE52" i="8"/>
  <c r="BD52" i="8"/>
  <c r="BC52" i="8"/>
  <c r="BB52" i="8"/>
  <c r="BA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T52" i="8"/>
  <c r="S52" i="8"/>
  <c r="R52" i="8"/>
  <c r="Q52" i="8"/>
  <c r="P52" i="8"/>
  <c r="DJ51" i="8"/>
  <c r="DH51" i="8"/>
  <c r="DB51" i="8"/>
  <c r="CZ51" i="8"/>
  <c r="CX51" i="8"/>
  <c r="CW51" i="8"/>
  <c r="CV51" i="8"/>
  <c r="CU51" i="8"/>
  <c r="CT51" i="8"/>
  <c r="CS51" i="8"/>
  <c r="CR51" i="8"/>
  <c r="CQ51" i="8"/>
  <c r="CP51" i="8"/>
  <c r="CO51" i="8"/>
  <c r="CN51" i="8"/>
  <c r="CM51" i="8"/>
  <c r="CL51" i="8"/>
  <c r="CK51" i="8"/>
  <c r="CJ51" i="8"/>
  <c r="CI51" i="8"/>
  <c r="CH51" i="8"/>
  <c r="CG51" i="8"/>
  <c r="CF51" i="8"/>
  <c r="CE51" i="8"/>
  <c r="CD51" i="8"/>
  <c r="CC51" i="8"/>
  <c r="CB51" i="8"/>
  <c r="CA51" i="8"/>
  <c r="BZ51" i="8"/>
  <c r="BY51" i="8"/>
  <c r="BX51" i="8"/>
  <c r="BW51" i="8"/>
  <c r="BV51" i="8"/>
  <c r="BU51" i="8"/>
  <c r="BT51" i="8"/>
  <c r="BS51" i="8"/>
  <c r="BQ51" i="8"/>
  <c r="BP51" i="8"/>
  <c r="BO51" i="8"/>
  <c r="BN51" i="8"/>
  <c r="BM51" i="8"/>
  <c r="BL51" i="8"/>
  <c r="BK51" i="8"/>
  <c r="BJ51" i="8"/>
  <c r="BI51" i="8"/>
  <c r="BH51" i="8"/>
  <c r="BG51" i="8"/>
  <c r="BF51" i="8"/>
  <c r="BE51" i="8"/>
  <c r="BD51" i="8"/>
  <c r="BC51" i="8"/>
  <c r="BB51" i="8"/>
  <c r="BA51" i="8"/>
  <c r="AZ51" i="8"/>
  <c r="AY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R51" i="8"/>
  <c r="Q51" i="8"/>
  <c r="P51" i="8"/>
  <c r="DP50" i="8"/>
  <c r="DP49" i="8"/>
  <c r="DO48" i="8"/>
  <c r="DN48" i="8"/>
  <c r="DM48" i="8"/>
  <c r="DL48" i="8"/>
  <c r="DK48" i="8"/>
  <c r="DJ48" i="8"/>
  <c r="DI48" i="8"/>
  <c r="DH48" i="8"/>
  <c r="DG48" i="8"/>
  <c r="DF48" i="8"/>
  <c r="DE48" i="8"/>
  <c r="DD48" i="8"/>
  <c r="DC48" i="8"/>
  <c r="DB48" i="8"/>
  <c r="DA48" i="8"/>
  <c r="CZ48" i="8"/>
  <c r="CY48" i="8"/>
  <c r="CU48" i="8"/>
  <c r="CO48" i="8"/>
  <c r="CM48" i="8"/>
  <c r="CE48" i="8"/>
  <c r="BW48" i="8"/>
  <c r="BO48" i="8"/>
  <c r="BI48" i="8"/>
  <c r="BG48" i="8"/>
  <c r="AY48" i="8"/>
  <c r="AQ48" i="8"/>
  <c r="AI48" i="8"/>
  <c r="AC48" i="8"/>
  <c r="AA48" i="8"/>
  <c r="S48" i="8"/>
  <c r="C48" i="8"/>
  <c r="DO47" i="8"/>
  <c r="DN47" i="8"/>
  <c r="DM47" i="8"/>
  <c r="DL47" i="8"/>
  <c r="DK47" i="8"/>
  <c r="DJ47" i="8"/>
  <c r="DI47" i="8"/>
  <c r="DH47" i="8"/>
  <c r="DG47" i="8"/>
  <c r="DF47" i="8"/>
  <c r="DE47" i="8"/>
  <c r="DD47" i="8"/>
  <c r="DP47" i="8" s="1"/>
  <c r="DQ20" i="8" s="1"/>
  <c r="DC47" i="8"/>
  <c r="DB47" i="8"/>
  <c r="DA47" i="8"/>
  <c r="CZ47" i="8"/>
  <c r="CY47" i="8"/>
  <c r="CX47" i="8"/>
  <c r="CW47" i="8"/>
  <c r="CV47" i="8"/>
  <c r="CU47" i="8"/>
  <c r="CT47" i="8"/>
  <c r="CS47" i="8"/>
  <c r="CR47" i="8"/>
  <c r="CQ47" i="8"/>
  <c r="CP47" i="8"/>
  <c r="CO47" i="8"/>
  <c r="CN47" i="8"/>
  <c r="CM47" i="8"/>
  <c r="CL47" i="8"/>
  <c r="CK47" i="8"/>
  <c r="CJ47" i="8"/>
  <c r="CI47" i="8"/>
  <c r="CH47" i="8"/>
  <c r="CG47" i="8"/>
  <c r="CF47" i="8"/>
  <c r="CE47" i="8"/>
  <c r="CD47" i="8"/>
  <c r="CC47" i="8"/>
  <c r="CB47" i="8"/>
  <c r="CA47" i="8"/>
  <c r="BZ47" i="8"/>
  <c r="BY47" i="8"/>
  <c r="BX47" i="8"/>
  <c r="BW47" i="8"/>
  <c r="BV47" i="8"/>
  <c r="BU47" i="8"/>
  <c r="BT47" i="8"/>
  <c r="BS47" i="8"/>
  <c r="BR47" i="8"/>
  <c r="BQ47" i="8"/>
  <c r="BP47" i="8"/>
  <c r="BO47" i="8"/>
  <c r="BN47" i="8"/>
  <c r="BM47" i="8"/>
  <c r="BL47" i="8"/>
  <c r="BK47" i="8"/>
  <c r="BJ47" i="8"/>
  <c r="BI47" i="8"/>
  <c r="BH47" i="8"/>
  <c r="BG47" i="8"/>
  <c r="BF47" i="8"/>
  <c r="BE47" i="8"/>
  <c r="BD47" i="8"/>
  <c r="BC47" i="8"/>
  <c r="BB47" i="8"/>
  <c r="BA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C47" i="8"/>
  <c r="DO46" i="8"/>
  <c r="DN46" i="8"/>
  <c r="DM46" i="8"/>
  <c r="DL46" i="8"/>
  <c r="DK46" i="8"/>
  <c r="DJ46" i="8"/>
  <c r="DI46" i="8"/>
  <c r="DH46" i="8"/>
  <c r="DG46" i="8"/>
  <c r="DF46" i="8"/>
  <c r="DE46" i="8"/>
  <c r="DD46" i="8"/>
  <c r="DC46" i="8"/>
  <c r="DP46" i="8" s="1"/>
  <c r="DQ19" i="8" s="1"/>
  <c r="DB46" i="8"/>
  <c r="DA46" i="8"/>
  <c r="CZ46" i="8"/>
  <c r="CY46" i="8"/>
  <c r="CX46" i="8"/>
  <c r="CW46" i="8"/>
  <c r="CV46" i="8"/>
  <c r="CU46" i="8"/>
  <c r="CT46" i="8"/>
  <c r="CS46" i="8"/>
  <c r="CR46" i="8"/>
  <c r="CQ46" i="8"/>
  <c r="CP46" i="8"/>
  <c r="CO46" i="8"/>
  <c r="CN46" i="8"/>
  <c r="CM46" i="8"/>
  <c r="CL46" i="8"/>
  <c r="CK46" i="8"/>
  <c r="CJ46" i="8"/>
  <c r="CI46" i="8"/>
  <c r="CH46" i="8"/>
  <c r="CG46" i="8"/>
  <c r="CF46" i="8"/>
  <c r="CE46" i="8"/>
  <c r="CD46" i="8"/>
  <c r="CC46" i="8"/>
  <c r="CB46" i="8"/>
  <c r="CA46" i="8"/>
  <c r="BZ46" i="8"/>
  <c r="BY46" i="8"/>
  <c r="BX46" i="8"/>
  <c r="BW46" i="8"/>
  <c r="BV46" i="8"/>
  <c r="BU46" i="8"/>
  <c r="BT46" i="8"/>
  <c r="BS46" i="8"/>
  <c r="BR46" i="8"/>
  <c r="BQ46" i="8"/>
  <c r="BP46" i="8"/>
  <c r="BO46" i="8"/>
  <c r="BN46" i="8"/>
  <c r="BM46" i="8"/>
  <c r="BL46" i="8"/>
  <c r="BK46" i="8"/>
  <c r="BJ46" i="8"/>
  <c r="BI46" i="8"/>
  <c r="BH46" i="8"/>
  <c r="BG46" i="8"/>
  <c r="BF46" i="8"/>
  <c r="BE46" i="8"/>
  <c r="BD46" i="8"/>
  <c r="BC46" i="8"/>
  <c r="BB46" i="8"/>
  <c r="BA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C46" i="8"/>
  <c r="CR45" i="8"/>
  <c r="BL45" i="8"/>
  <c r="BF45" i="8"/>
  <c r="AF45" i="8"/>
  <c r="Z45" i="8"/>
  <c r="C45" i="8"/>
  <c r="CY44" i="8"/>
  <c r="CW44" i="8"/>
  <c r="CV44" i="8"/>
  <c r="CU44" i="8"/>
  <c r="CT44" i="8"/>
  <c r="CS44" i="8"/>
  <c r="CR44" i="8"/>
  <c r="CQ44" i="8"/>
  <c r="CP44" i="8"/>
  <c r="CO44" i="8"/>
  <c r="CN44" i="8"/>
  <c r="CM44" i="8"/>
  <c r="CL44" i="8"/>
  <c r="CK44" i="8"/>
  <c r="CJ44" i="8"/>
  <c r="CI44" i="8"/>
  <c r="CH44" i="8"/>
  <c r="CG44" i="8"/>
  <c r="CF44" i="8"/>
  <c r="CE44" i="8"/>
  <c r="CD44" i="8"/>
  <c r="CC44" i="8"/>
  <c r="CB44" i="8"/>
  <c r="CA44" i="8"/>
  <c r="BZ44" i="8"/>
  <c r="BY44" i="8"/>
  <c r="BX44" i="8"/>
  <c r="BW44" i="8"/>
  <c r="BV44" i="8"/>
  <c r="BU44" i="8"/>
  <c r="BT44" i="8"/>
  <c r="BS44" i="8"/>
  <c r="BQ44" i="8"/>
  <c r="BP44" i="8"/>
  <c r="BO44" i="8"/>
  <c r="BN44" i="8"/>
  <c r="BM44" i="8"/>
  <c r="BL44" i="8"/>
  <c r="BK44" i="8"/>
  <c r="BJ44" i="8"/>
  <c r="BI44" i="8"/>
  <c r="BH44" i="8"/>
  <c r="BG44" i="8"/>
  <c r="BF44" i="8"/>
  <c r="BE44" i="8"/>
  <c r="BD44" i="8"/>
  <c r="BC44" i="8"/>
  <c r="BB44" i="8"/>
  <c r="BA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C44" i="8"/>
  <c r="DN43" i="8"/>
  <c r="DF43" i="8"/>
  <c r="CZ43" i="8"/>
  <c r="CX43" i="8"/>
  <c r="CW43" i="8"/>
  <c r="CV43" i="8"/>
  <c r="CU43" i="8"/>
  <c r="CT43" i="8"/>
  <c r="CS43" i="8"/>
  <c r="CR43" i="8"/>
  <c r="CQ43" i="8"/>
  <c r="CP43" i="8"/>
  <c r="CO43" i="8"/>
  <c r="CN43" i="8"/>
  <c r="CM43" i="8"/>
  <c r="CL43" i="8"/>
  <c r="CK43" i="8"/>
  <c r="CJ43" i="8"/>
  <c r="CI43" i="8"/>
  <c r="CH43" i="8"/>
  <c r="CG43" i="8"/>
  <c r="CF43" i="8"/>
  <c r="CE43" i="8"/>
  <c r="CD43" i="8"/>
  <c r="CC43" i="8"/>
  <c r="CB43" i="8"/>
  <c r="CA43" i="8"/>
  <c r="BZ43" i="8"/>
  <c r="BY43" i="8"/>
  <c r="BX43" i="8"/>
  <c r="BW43" i="8"/>
  <c r="BV43" i="8"/>
  <c r="BU43" i="8"/>
  <c r="BT43" i="8"/>
  <c r="BR43" i="8"/>
  <c r="BQ43" i="8"/>
  <c r="BP43" i="8"/>
  <c r="BO43" i="8"/>
  <c r="BN43" i="8"/>
  <c r="BM43" i="8"/>
  <c r="BL43" i="8"/>
  <c r="BK43" i="8"/>
  <c r="BJ43" i="8"/>
  <c r="BI43" i="8"/>
  <c r="BH43" i="8"/>
  <c r="BG43" i="8"/>
  <c r="BF43" i="8"/>
  <c r="BE43" i="8"/>
  <c r="BD43" i="8"/>
  <c r="BC43" i="8"/>
  <c r="BB43" i="8"/>
  <c r="BA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T43" i="8"/>
  <c r="S43" i="8"/>
  <c r="C43" i="8"/>
  <c r="DM42" i="8"/>
  <c r="DE42" i="8"/>
  <c r="CY42" i="8"/>
  <c r="CW42" i="8"/>
  <c r="CV42" i="8"/>
  <c r="CU42" i="8"/>
  <c r="CT42" i="8"/>
  <c r="CS42" i="8"/>
  <c r="CR42" i="8"/>
  <c r="CQ42" i="8"/>
  <c r="CP42" i="8"/>
  <c r="CO42" i="8"/>
  <c r="CN42" i="8"/>
  <c r="CM42" i="8"/>
  <c r="CL42" i="8"/>
  <c r="CK42" i="8"/>
  <c r="CJ42" i="8"/>
  <c r="CI42" i="8"/>
  <c r="CH42" i="8"/>
  <c r="CG42" i="8"/>
  <c r="CF42" i="8"/>
  <c r="CE42" i="8"/>
  <c r="CD42" i="8"/>
  <c r="CC42" i="8"/>
  <c r="CB42" i="8"/>
  <c r="CA42" i="8"/>
  <c r="BZ42" i="8"/>
  <c r="BY42" i="8"/>
  <c r="BX42" i="8"/>
  <c r="BW42" i="8"/>
  <c r="BV42" i="8"/>
  <c r="BU42" i="8"/>
  <c r="BT42" i="8"/>
  <c r="BS42" i="8"/>
  <c r="BQ42" i="8"/>
  <c r="BP42" i="8"/>
  <c r="BO42" i="8"/>
  <c r="BN42" i="8"/>
  <c r="BM42" i="8"/>
  <c r="BL42" i="8"/>
  <c r="BK42" i="8"/>
  <c r="BJ42" i="8"/>
  <c r="BI42" i="8"/>
  <c r="BH42" i="8"/>
  <c r="BG42" i="8"/>
  <c r="BF42" i="8"/>
  <c r="BE42" i="8"/>
  <c r="BD42" i="8"/>
  <c r="BC42" i="8"/>
  <c r="BB42" i="8"/>
  <c r="BA42" i="8"/>
  <c r="AZ42" i="8"/>
  <c r="AY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C42" i="8"/>
  <c r="DL41" i="8"/>
  <c r="DD41" i="8"/>
  <c r="CX41" i="8"/>
  <c r="CW41" i="8"/>
  <c r="CV41" i="8"/>
  <c r="CU41" i="8"/>
  <c r="CT41" i="8"/>
  <c r="CS41" i="8"/>
  <c r="CR41" i="8"/>
  <c r="CQ41" i="8"/>
  <c r="CP41" i="8"/>
  <c r="CO41" i="8"/>
  <c r="CN41" i="8"/>
  <c r="CM41" i="8"/>
  <c r="CL41" i="8"/>
  <c r="CK41" i="8"/>
  <c r="CJ41" i="8"/>
  <c r="CI41" i="8"/>
  <c r="CH41" i="8"/>
  <c r="CG41" i="8"/>
  <c r="CF41" i="8"/>
  <c r="CE41" i="8"/>
  <c r="CD41" i="8"/>
  <c r="CC41" i="8"/>
  <c r="CB41" i="8"/>
  <c r="CA41" i="8"/>
  <c r="BZ41" i="8"/>
  <c r="BY41" i="8"/>
  <c r="BX41" i="8"/>
  <c r="BW41" i="8"/>
  <c r="BV41" i="8"/>
  <c r="BU41" i="8"/>
  <c r="BT41" i="8"/>
  <c r="BR41" i="8"/>
  <c r="BQ41" i="8"/>
  <c r="BP41" i="8"/>
  <c r="BO41" i="8"/>
  <c r="BN41" i="8"/>
  <c r="BM41" i="8"/>
  <c r="BL41" i="8"/>
  <c r="BK41" i="8"/>
  <c r="BJ41" i="8"/>
  <c r="BI41" i="8"/>
  <c r="BH41" i="8"/>
  <c r="BG41" i="8"/>
  <c r="BF41" i="8"/>
  <c r="BE41" i="8"/>
  <c r="BD41" i="8"/>
  <c r="BC41" i="8"/>
  <c r="BB41" i="8"/>
  <c r="BA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C41" i="8"/>
  <c r="DR21" i="8"/>
  <c r="DP21" i="8"/>
  <c r="CW21" i="8"/>
  <c r="CW58" i="8" s="1"/>
  <c r="CV21" i="8"/>
  <c r="CW48" i="8" s="1"/>
  <c r="CU21" i="8"/>
  <c r="DG58" i="8" s="1"/>
  <c r="CT21" i="8"/>
  <c r="CT48" i="8" s="1"/>
  <c r="CS21" i="8"/>
  <c r="CS48" i="8" s="1"/>
  <c r="CR21" i="8"/>
  <c r="CQ21" i="8"/>
  <c r="CQ58" i="8" s="1"/>
  <c r="CP21" i="8"/>
  <c r="CO21" i="8"/>
  <c r="CO58" i="8" s="1"/>
  <c r="CN21" i="8"/>
  <c r="CM21" i="8"/>
  <c r="CY58" i="8" s="1"/>
  <c r="CL21" i="8"/>
  <c r="CL48" i="8" s="1"/>
  <c r="CK21" i="8"/>
  <c r="CK48" i="8" s="1"/>
  <c r="CJ21" i="8"/>
  <c r="CI21" i="8"/>
  <c r="CI58" i="8" s="1"/>
  <c r="CH21" i="8"/>
  <c r="CG21" i="8"/>
  <c r="CG58" i="8" s="1"/>
  <c r="CF21" i="8"/>
  <c r="CE21" i="8"/>
  <c r="CD21" i="8"/>
  <c r="CD48" i="8" s="1"/>
  <c r="CC21" i="8"/>
  <c r="CC48" i="8" s="1"/>
  <c r="CB21" i="8"/>
  <c r="CA21" i="8"/>
  <c r="CA58" i="8" s="1"/>
  <c r="BZ21" i="8"/>
  <c r="BY21" i="8"/>
  <c r="BY58" i="8" s="1"/>
  <c r="BX21" i="8"/>
  <c r="BW21" i="8"/>
  <c r="BV21" i="8"/>
  <c r="BV48" i="8" s="1"/>
  <c r="BU21" i="8"/>
  <c r="BU48" i="8" s="1"/>
  <c r="BT21" i="8"/>
  <c r="BS21" i="8"/>
  <c r="BS58" i="8" s="1"/>
  <c r="BR21" i="8"/>
  <c r="BQ21" i="8"/>
  <c r="BQ58" i="8" s="1"/>
  <c r="BP21" i="8"/>
  <c r="BQ48" i="8" s="1"/>
  <c r="BO21" i="8"/>
  <c r="BN21" i="8"/>
  <c r="BN48" i="8" s="1"/>
  <c r="BM21" i="8"/>
  <c r="BM48" i="8" s="1"/>
  <c r="BL21" i="8"/>
  <c r="BK21" i="8"/>
  <c r="BK58" i="8" s="1"/>
  <c r="BJ21" i="8"/>
  <c r="BI21" i="8"/>
  <c r="BI58" i="8" s="1"/>
  <c r="BH21" i="8"/>
  <c r="BG21" i="8"/>
  <c r="BF21" i="8"/>
  <c r="BF48" i="8" s="1"/>
  <c r="BE21" i="8"/>
  <c r="BE48" i="8" s="1"/>
  <c r="BD21" i="8"/>
  <c r="BC21" i="8"/>
  <c r="BC58" i="8" s="1"/>
  <c r="BB21" i="8"/>
  <c r="BA21" i="8"/>
  <c r="BA58" i="8" s="1"/>
  <c r="AZ21" i="8"/>
  <c r="AY21" i="8"/>
  <c r="AX21" i="8"/>
  <c r="AX48" i="8" s="1"/>
  <c r="AW21" i="8"/>
  <c r="AW48" i="8" s="1"/>
  <c r="AV21" i="8"/>
  <c r="AU21" i="8"/>
  <c r="AU58" i="8" s="1"/>
  <c r="AT21" i="8"/>
  <c r="AS21" i="8"/>
  <c r="AS58" i="8" s="1"/>
  <c r="AR21" i="8"/>
  <c r="AS48" i="8" s="1"/>
  <c r="AQ21" i="8"/>
  <c r="AP21" i="8"/>
  <c r="AP48" i="8" s="1"/>
  <c r="AO21" i="8"/>
  <c r="AO48" i="8" s="1"/>
  <c r="AN21" i="8"/>
  <c r="AM21" i="8"/>
  <c r="AM58" i="8" s="1"/>
  <c r="AL21" i="8"/>
  <c r="AK21" i="8"/>
  <c r="AK58" i="8" s="1"/>
  <c r="AJ21" i="8"/>
  <c r="AK48" i="8" s="1"/>
  <c r="AI21" i="8"/>
  <c r="AH21" i="8"/>
  <c r="AH48" i="8" s="1"/>
  <c r="AG21" i="8"/>
  <c r="AG48" i="8" s="1"/>
  <c r="AF21" i="8"/>
  <c r="AE21" i="8"/>
  <c r="AE58" i="8" s="1"/>
  <c r="AD21" i="8"/>
  <c r="AC21" i="8"/>
  <c r="AC58" i="8" s="1"/>
  <c r="AB21" i="8"/>
  <c r="AA21" i="8"/>
  <c r="Z21" i="8"/>
  <c r="Z48" i="8" s="1"/>
  <c r="Y21" i="8"/>
  <c r="Y48" i="8" s="1"/>
  <c r="X21" i="8"/>
  <c r="W21" i="8"/>
  <c r="W58" i="8" s="1"/>
  <c r="V21" i="8"/>
  <c r="U21" i="8"/>
  <c r="U58" i="8" s="1"/>
  <c r="T21" i="8"/>
  <c r="S21" i="8"/>
  <c r="R21" i="8"/>
  <c r="R58" i="8" s="1"/>
  <c r="Q21" i="8"/>
  <c r="P21" i="8"/>
  <c r="O21" i="8"/>
  <c r="N21" i="8"/>
  <c r="M21" i="8"/>
  <c r="L21" i="8"/>
  <c r="K21" i="8"/>
  <c r="J21" i="8"/>
  <c r="I21" i="8"/>
  <c r="H21" i="8"/>
  <c r="G21" i="8"/>
  <c r="F21" i="8"/>
  <c r="E21" i="8"/>
  <c r="D21" i="8"/>
  <c r="DR20" i="8"/>
  <c r="DP20" i="8"/>
  <c r="DR19" i="8"/>
  <c r="DP19" i="8"/>
  <c r="CZ17" i="8"/>
  <c r="CW17" i="8"/>
  <c r="CV17" i="8"/>
  <c r="CU17" i="8"/>
  <c r="CT17" i="8"/>
  <c r="CS17" i="8"/>
  <c r="CR17" i="8"/>
  <c r="CQ17" i="8"/>
  <c r="CP17" i="8"/>
  <c r="CO17" i="8"/>
  <c r="CN17" i="8"/>
  <c r="CM17" i="8"/>
  <c r="CL17" i="8"/>
  <c r="CK17" i="8"/>
  <c r="CJ17" i="8"/>
  <c r="CI17" i="8"/>
  <c r="CH17" i="8"/>
  <c r="CG17" i="8"/>
  <c r="CF17" i="8"/>
  <c r="CE17" i="8"/>
  <c r="CD17" i="8"/>
  <c r="CC17" i="8"/>
  <c r="CB17" i="8"/>
  <c r="CA17" i="8"/>
  <c r="BZ17" i="8"/>
  <c r="BY17" i="8"/>
  <c r="BX17" i="8"/>
  <c r="BW17" i="8"/>
  <c r="BV17" i="8"/>
  <c r="BU17" i="8"/>
  <c r="BT17" i="8"/>
  <c r="BS17" i="8"/>
  <c r="BQ17" i="8"/>
  <c r="BP17" i="8"/>
  <c r="BO17" i="8"/>
  <c r="BN17" i="8"/>
  <c r="BM17" i="8"/>
  <c r="BL17" i="8"/>
  <c r="BK17" i="8"/>
  <c r="BJ17" i="8"/>
  <c r="BI17" i="8"/>
  <c r="BH17" i="8"/>
  <c r="BG17" i="8"/>
  <c r="BF17"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DR16" i="8"/>
  <c r="DP16" i="8"/>
  <c r="DO16" i="8"/>
  <c r="DO53" i="8" s="1"/>
  <c r="DN16" i="8"/>
  <c r="DM16" i="8"/>
  <c r="DM53" i="8" s="1"/>
  <c r="DL16" i="8"/>
  <c r="DK16" i="8"/>
  <c r="DK53" i="8" s="1"/>
  <c r="DJ16" i="8"/>
  <c r="DI16" i="8"/>
  <c r="DI53" i="8" s="1"/>
  <c r="DH16" i="8"/>
  <c r="DH43" i="8" s="1"/>
  <c r="DG16" i="8"/>
  <c r="DG53" i="8" s="1"/>
  <c r="DF16" i="8"/>
  <c r="DE16" i="8"/>
  <c r="DE53" i="8" s="1"/>
  <c r="DD16" i="8"/>
  <c r="DD53" i="8" s="1"/>
  <c r="DC16" i="8"/>
  <c r="DC53" i="8" s="1"/>
  <c r="DB16" i="8"/>
  <c r="DN53" i="8" s="1"/>
  <c r="DA16" i="8"/>
  <c r="DA53" i="8" s="1"/>
  <c r="CZ16" i="8"/>
  <c r="CY16" i="8"/>
  <c r="CY53" i="8" s="1"/>
  <c r="CX16" i="8"/>
  <c r="CX17" i="8" s="1"/>
  <c r="BR16" i="8"/>
  <c r="CD53" i="8" s="1"/>
  <c r="DO15" i="8"/>
  <c r="DI15" i="8"/>
  <c r="DG15" i="8"/>
  <c r="DA15" i="8"/>
  <c r="CY15" i="8"/>
  <c r="CW15" i="8"/>
  <c r="CW45" i="8" s="1"/>
  <c r="CV15" i="8"/>
  <c r="CV45" i="8" s="1"/>
  <c r="CU15" i="8"/>
  <c r="CT15" i="8"/>
  <c r="CT55" i="8" s="1"/>
  <c r="CS15" i="8"/>
  <c r="CR15" i="8"/>
  <c r="CR55" i="8" s="1"/>
  <c r="CQ15" i="8"/>
  <c r="CP15" i="8"/>
  <c r="CP45" i="8" s="1"/>
  <c r="CO15" i="8"/>
  <c r="CO45" i="8" s="1"/>
  <c r="CN15" i="8"/>
  <c r="CN45" i="8" s="1"/>
  <c r="CM15" i="8"/>
  <c r="CL15" i="8"/>
  <c r="CL55" i="8" s="1"/>
  <c r="CK15" i="8"/>
  <c r="CJ15" i="8"/>
  <c r="CJ55" i="8" s="1"/>
  <c r="CI15" i="8"/>
  <c r="CH15" i="8"/>
  <c r="CH45" i="8" s="1"/>
  <c r="CG15" i="8"/>
  <c r="CG45" i="8" s="1"/>
  <c r="CF15" i="8"/>
  <c r="CF45" i="8" s="1"/>
  <c r="CE15" i="8"/>
  <c r="CD15" i="8"/>
  <c r="CC15" i="8"/>
  <c r="CB15" i="8"/>
  <c r="CB55" i="8" s="1"/>
  <c r="CA15" i="8"/>
  <c r="CB45" i="8" s="1"/>
  <c r="BZ15" i="8"/>
  <c r="BZ45" i="8" s="1"/>
  <c r="BY15" i="8"/>
  <c r="BY45" i="8" s="1"/>
  <c r="BX15" i="8"/>
  <c r="BX45" i="8" s="1"/>
  <c r="BW15" i="8"/>
  <c r="BV15" i="8"/>
  <c r="BV55" i="8" s="1"/>
  <c r="BU15" i="8"/>
  <c r="BV45" i="8" s="1"/>
  <c r="BT15" i="8"/>
  <c r="BT55" i="8" s="1"/>
  <c r="BS15" i="8"/>
  <c r="BT45" i="8" s="1"/>
  <c r="BQ15" i="8"/>
  <c r="BQ45" i="8" s="1"/>
  <c r="BP15" i="8"/>
  <c r="BP45" i="8" s="1"/>
  <c r="BO15" i="8"/>
  <c r="BN15" i="8"/>
  <c r="BN55" i="8" s="1"/>
  <c r="BM15" i="8"/>
  <c r="BN45" i="8" s="1"/>
  <c r="BL15" i="8"/>
  <c r="BL55" i="8" s="1"/>
  <c r="BK15" i="8"/>
  <c r="BJ15" i="8"/>
  <c r="BJ45" i="8" s="1"/>
  <c r="BI15" i="8"/>
  <c r="BI45" i="8" s="1"/>
  <c r="BH15" i="8"/>
  <c r="BH45" i="8" s="1"/>
  <c r="BG15" i="8"/>
  <c r="BF15" i="8"/>
  <c r="BF55" i="8" s="1"/>
  <c r="BE15" i="8"/>
  <c r="BD15" i="8"/>
  <c r="BD55" i="8" s="1"/>
  <c r="BC15" i="8"/>
  <c r="BB15" i="8"/>
  <c r="BB45" i="8" s="1"/>
  <c r="BA15" i="8"/>
  <c r="BA45" i="8" s="1"/>
  <c r="AZ15" i="8"/>
  <c r="AZ45" i="8" s="1"/>
  <c r="AY15" i="8"/>
  <c r="AX15" i="8"/>
  <c r="AX55" i="8" s="1"/>
  <c r="AW15" i="8"/>
  <c r="AV15" i="8"/>
  <c r="AV55" i="8" s="1"/>
  <c r="AU15" i="8"/>
  <c r="AV45" i="8" s="1"/>
  <c r="AT15" i="8"/>
  <c r="AT45" i="8" s="1"/>
  <c r="AS15" i="8"/>
  <c r="AS45" i="8" s="1"/>
  <c r="AR15" i="8"/>
  <c r="AR45" i="8" s="1"/>
  <c r="AQ15" i="8"/>
  <c r="AP15" i="8"/>
  <c r="AP55" i="8" s="1"/>
  <c r="AO15" i="8"/>
  <c r="AP45" i="8" s="1"/>
  <c r="AN15" i="8"/>
  <c r="AN55" i="8" s="1"/>
  <c r="AM15" i="8"/>
  <c r="AN45" i="8" s="1"/>
  <c r="AL15" i="8"/>
  <c r="AL45" i="8" s="1"/>
  <c r="AK15" i="8"/>
  <c r="AK45" i="8" s="1"/>
  <c r="AJ15" i="8"/>
  <c r="AJ45" i="8" s="1"/>
  <c r="AI15" i="8"/>
  <c r="AH15" i="8"/>
  <c r="AH55" i="8" s="1"/>
  <c r="AG15" i="8"/>
  <c r="AF15" i="8"/>
  <c r="AF55" i="8" s="1"/>
  <c r="AE15" i="8"/>
  <c r="AD15" i="8"/>
  <c r="AD45" i="8" s="1"/>
  <c r="AC15" i="8"/>
  <c r="AC45" i="8" s="1"/>
  <c r="AB15" i="8"/>
  <c r="AB45" i="8" s="1"/>
  <c r="AA15" i="8"/>
  <c r="Z15" i="8"/>
  <c r="Z55" i="8" s="1"/>
  <c r="Y15" i="8"/>
  <c r="X15" i="8"/>
  <c r="X55" i="8" s="1"/>
  <c r="W15" i="8"/>
  <c r="V15" i="8"/>
  <c r="V45" i="8" s="1"/>
  <c r="U15" i="8"/>
  <c r="U45" i="8" s="1"/>
  <c r="T15" i="8"/>
  <c r="T45" i="8" s="1"/>
  <c r="S15" i="8"/>
  <c r="R15" i="8"/>
  <c r="R55" i="8" s="1"/>
  <c r="Q15" i="8"/>
  <c r="Q55" i="8" s="1"/>
  <c r="P15" i="8"/>
  <c r="P55" i="8" s="1"/>
  <c r="O15" i="8"/>
  <c r="N15" i="8"/>
  <c r="M15" i="8"/>
  <c r="L15" i="8"/>
  <c r="K15" i="8"/>
  <c r="J15" i="8"/>
  <c r="I15" i="8"/>
  <c r="H15" i="8"/>
  <c r="G15" i="8"/>
  <c r="F15" i="8"/>
  <c r="E15" i="8"/>
  <c r="D15" i="8"/>
  <c r="DO14" i="8"/>
  <c r="DN14" i="8"/>
  <c r="DN44" i="8" s="1"/>
  <c r="DM14" i="8"/>
  <c r="DM44" i="8" s="1"/>
  <c r="DL14" i="8"/>
  <c r="DL54" i="8" s="1"/>
  <c r="DK14" i="8"/>
  <c r="DK54" i="8" s="1"/>
  <c r="DJ14" i="8"/>
  <c r="DJ54" i="8" s="1"/>
  <c r="DI14" i="8"/>
  <c r="DI54" i="8" s="1"/>
  <c r="DH14" i="8"/>
  <c r="DH54" i="8" s="1"/>
  <c r="DG14" i="8"/>
  <c r="DG54" i="8" s="1"/>
  <c r="DF14" i="8"/>
  <c r="DF44" i="8" s="1"/>
  <c r="DE14" i="8"/>
  <c r="DE44" i="8" s="1"/>
  <c r="DD14" i="8"/>
  <c r="DD54" i="8" s="1"/>
  <c r="DC14" i="8"/>
  <c r="DC54" i="8" s="1"/>
  <c r="DB14" i="8"/>
  <c r="DB54" i="8" s="1"/>
  <c r="DA14" i="8"/>
  <c r="DA54" i="8" s="1"/>
  <c r="CZ14" i="8"/>
  <c r="CZ54" i="8" s="1"/>
  <c r="CY14" i="8"/>
  <c r="CY54" i="8" s="1"/>
  <c r="CX14" i="8"/>
  <c r="CX44" i="8" s="1"/>
  <c r="BR14" i="8"/>
  <c r="BR44" i="8" s="1"/>
  <c r="DP13" i="8"/>
  <c r="DO13" i="8"/>
  <c r="DR13" i="8" s="1"/>
  <c r="DN13" i="8"/>
  <c r="DO42" i="8" s="1"/>
  <c r="DM13" i="8"/>
  <c r="DM52" i="8" s="1"/>
  <c r="DL13" i="8"/>
  <c r="DL42" i="8" s="1"/>
  <c r="DK13" i="8"/>
  <c r="DK42" i="8" s="1"/>
  <c r="DJ13" i="8"/>
  <c r="DJ42" i="8" s="1"/>
  <c r="DI13" i="8"/>
  <c r="DI42" i="8" s="1"/>
  <c r="DH13" i="8"/>
  <c r="DG13" i="8"/>
  <c r="DF13" i="8"/>
  <c r="DG42" i="8" s="1"/>
  <c r="DE13" i="8"/>
  <c r="DE52" i="8" s="1"/>
  <c r="DD13" i="8"/>
  <c r="DD42" i="8" s="1"/>
  <c r="DC13" i="8"/>
  <c r="DC42" i="8" s="1"/>
  <c r="DB13" i="8"/>
  <c r="DB42" i="8" s="1"/>
  <c r="DA13" i="8"/>
  <c r="DA42" i="8" s="1"/>
  <c r="CZ13" i="8"/>
  <c r="CY13" i="8"/>
  <c r="CX13" i="8"/>
  <c r="BR13" i="8"/>
  <c r="BR52" i="8" s="1"/>
  <c r="DO11" i="8"/>
  <c r="DN11" i="8"/>
  <c r="DN51" i="8" s="1"/>
  <c r="DM11" i="8"/>
  <c r="DN41" i="8" s="1"/>
  <c r="DL11" i="8"/>
  <c r="DL51" i="8" s="1"/>
  <c r="DK11" i="8"/>
  <c r="DK41" i="8" s="1"/>
  <c r="DJ11" i="8"/>
  <c r="DJ41" i="8" s="1"/>
  <c r="DI11" i="8"/>
  <c r="DI41" i="8" s="1"/>
  <c r="DH11" i="8"/>
  <c r="DG11" i="8"/>
  <c r="DF11" i="8"/>
  <c r="DF51" i="8" s="1"/>
  <c r="DE11" i="8"/>
  <c r="DD11" i="8"/>
  <c r="DD51" i="8" s="1"/>
  <c r="DC11" i="8"/>
  <c r="DC41" i="8" s="1"/>
  <c r="DB11" i="8"/>
  <c r="DB41" i="8" s="1"/>
  <c r="DA11" i="8"/>
  <c r="DA41" i="8" s="1"/>
  <c r="CZ11" i="8"/>
  <c r="CY11" i="8"/>
  <c r="BR11" i="8"/>
  <c r="BR51" i="8" s="1"/>
  <c r="CS55" i="8" l="1"/>
  <c r="CS45" i="8"/>
  <c r="DE51" i="8"/>
  <c r="DE17" i="8"/>
  <c r="DE41" i="8"/>
  <c r="DP41" i="8" s="1"/>
  <c r="DQ11" i="8" s="1"/>
  <c r="AG55" i="8"/>
  <c r="AG45" i="8"/>
  <c r="BH58" i="8"/>
  <c r="BH48" i="8"/>
  <c r="CZ58" i="8"/>
  <c r="CN58" i="8"/>
  <c r="CN48" i="8"/>
  <c r="DO54" i="8"/>
  <c r="DR14" i="8"/>
  <c r="DP14" i="8"/>
  <c r="BW55" i="8"/>
  <c r="CE55" i="8"/>
  <c r="CM55" i="8"/>
  <c r="CU55" i="8"/>
  <c r="DL53" i="8"/>
  <c r="DB17" i="8"/>
  <c r="DF41" i="8"/>
  <c r="DA44" i="8"/>
  <c r="AH45" i="8"/>
  <c r="CT45" i="8"/>
  <c r="DH53" i="8"/>
  <c r="DP53" i="8" s="1"/>
  <c r="DS14" i="8" s="1"/>
  <c r="DM54" i="8"/>
  <c r="CK55" i="8"/>
  <c r="CK45" i="8"/>
  <c r="CL45" i="8"/>
  <c r="BE55" i="8"/>
  <c r="BE45" i="8"/>
  <c r="T58" i="8"/>
  <c r="T48" i="8"/>
  <c r="BX58" i="8"/>
  <c r="BX48" i="8"/>
  <c r="CY51" i="8"/>
  <c r="CY17" i="8"/>
  <c r="CY41" i="8"/>
  <c r="S55" i="8"/>
  <c r="AI55" i="8"/>
  <c r="AY55" i="8"/>
  <c r="BG55" i="8"/>
  <c r="DH17" i="8"/>
  <c r="V58" i="8"/>
  <c r="V48" i="8"/>
  <c r="AD58" i="8"/>
  <c r="AD48" i="8"/>
  <c r="AL58" i="8"/>
  <c r="AL48" i="8"/>
  <c r="AT58" i="8"/>
  <c r="AT48" i="8"/>
  <c r="BB58" i="8"/>
  <c r="BB48" i="8"/>
  <c r="BJ58" i="8"/>
  <c r="BJ48" i="8"/>
  <c r="BR58" i="8"/>
  <c r="BR48" i="8"/>
  <c r="BZ58" i="8"/>
  <c r="BZ48" i="8"/>
  <c r="CH58" i="8"/>
  <c r="CH48" i="8"/>
  <c r="CP58" i="8"/>
  <c r="CP48" i="8"/>
  <c r="DB58" i="8"/>
  <c r="DG44" i="8"/>
  <c r="DJ53" i="8"/>
  <c r="DJ43" i="8"/>
  <c r="AW55" i="8"/>
  <c r="AW45" i="8"/>
  <c r="CD55" i="8"/>
  <c r="AB58" i="8"/>
  <c r="AB48" i="8"/>
  <c r="BP58" i="8"/>
  <c r="BP48" i="8"/>
  <c r="DH58" i="8"/>
  <c r="CV58" i="8"/>
  <c r="CV48" i="8"/>
  <c r="DG51" i="8"/>
  <c r="DG17" i="8"/>
  <c r="DG41" i="8"/>
  <c r="DO51" i="8"/>
  <c r="DO17" i="8"/>
  <c r="DR11" i="8"/>
  <c r="DO41" i="8"/>
  <c r="DP11" i="8"/>
  <c r="AA55" i="8"/>
  <c r="AQ55" i="8"/>
  <c r="BO55" i="8"/>
  <c r="CZ41" i="8"/>
  <c r="DH41" i="8"/>
  <c r="DJ17" i="8"/>
  <c r="DI44" i="8"/>
  <c r="BY48" i="8"/>
  <c r="BU55" i="8"/>
  <c r="BU45" i="8"/>
  <c r="DB53" i="8"/>
  <c r="DB43" i="8"/>
  <c r="BM55" i="8"/>
  <c r="BM45" i="8"/>
  <c r="AJ58" i="8"/>
  <c r="AJ48" i="8"/>
  <c r="CF58" i="8"/>
  <c r="CF48" i="8"/>
  <c r="CX52" i="8"/>
  <c r="CX15" i="8"/>
  <c r="CX42" i="8"/>
  <c r="DF52" i="8"/>
  <c r="DF15" i="8"/>
  <c r="DF42" i="8"/>
  <c r="DP42" i="8" s="1"/>
  <c r="DQ13" i="8" s="1"/>
  <c r="DN52" i="8"/>
  <c r="DN15" i="8"/>
  <c r="DN42" i="8"/>
  <c r="CY45" i="8"/>
  <c r="CY55" i="8"/>
  <c r="P58" i="8"/>
  <c r="X58" i="8"/>
  <c r="AF58" i="8"/>
  <c r="AN58" i="8"/>
  <c r="AV58" i="8"/>
  <c r="BD58" i="8"/>
  <c r="BL58" i="8"/>
  <c r="BT58" i="8"/>
  <c r="CB58" i="8"/>
  <c r="CJ58" i="8"/>
  <c r="CR58" i="8"/>
  <c r="DO44" i="8"/>
  <c r="CC55" i="8"/>
  <c r="CC45" i="8"/>
  <c r="AO55" i="8"/>
  <c r="AO45" i="8"/>
  <c r="AZ58" i="8"/>
  <c r="AZ48" i="8"/>
  <c r="BS45" i="8"/>
  <c r="BS55" i="8"/>
  <c r="CA45" i="8"/>
  <c r="CA55" i="8"/>
  <c r="CI45" i="8"/>
  <c r="CI55" i="8"/>
  <c r="CQ45" i="8"/>
  <c r="CQ55" i="8"/>
  <c r="DA55" i="8"/>
  <c r="DA45" i="8"/>
  <c r="AX45" i="8"/>
  <c r="CD45" i="8"/>
  <c r="U48" i="8"/>
  <c r="BA48" i="8"/>
  <c r="CG48" i="8"/>
  <c r="DI55" i="8"/>
  <c r="DI45" i="8"/>
  <c r="DM51" i="8"/>
  <c r="DM17" i="8"/>
  <c r="DM41" i="8"/>
  <c r="Y55" i="8"/>
  <c r="Y45" i="8"/>
  <c r="AR58" i="8"/>
  <c r="AR48" i="8"/>
  <c r="CZ42" i="8"/>
  <c r="CZ52" i="8"/>
  <c r="CZ15" i="8"/>
  <c r="DH42" i="8"/>
  <c r="DH52" i="8"/>
  <c r="DH15" i="8"/>
  <c r="W45" i="8"/>
  <c r="W55" i="8"/>
  <c r="AE45" i="8"/>
  <c r="AE55" i="8"/>
  <c r="AM45" i="8"/>
  <c r="AM55" i="8"/>
  <c r="AU45" i="8"/>
  <c r="AU55" i="8"/>
  <c r="BC45" i="8"/>
  <c r="BC55" i="8"/>
  <c r="BK45" i="8"/>
  <c r="BK55" i="8"/>
  <c r="DG55" i="8"/>
  <c r="X45" i="8"/>
  <c r="BD45" i="8"/>
  <c r="CJ45" i="8"/>
  <c r="DP48" i="8"/>
  <c r="DQ21" i="8" s="1"/>
  <c r="DA17" i="8"/>
  <c r="DI17" i="8"/>
  <c r="BR42" i="8"/>
  <c r="BS43" i="8"/>
  <c r="CY43" i="8"/>
  <c r="DG43" i="8"/>
  <c r="DO43" i="8"/>
  <c r="CZ44" i="8"/>
  <c r="DH44" i="8"/>
  <c r="DA51" i="8"/>
  <c r="DI51" i="8"/>
  <c r="BR54" i="8"/>
  <c r="CX54" i="8"/>
  <c r="DF54" i="8"/>
  <c r="DP54" i="8" s="1"/>
  <c r="DS15" i="8" s="1"/>
  <c r="DN54" i="8"/>
  <c r="U55" i="8"/>
  <c r="AC55" i="8"/>
  <c r="AK55" i="8"/>
  <c r="AS55" i="8"/>
  <c r="BA55" i="8"/>
  <c r="BI55" i="8"/>
  <c r="BQ55" i="8"/>
  <c r="BY55" i="8"/>
  <c r="CG55" i="8"/>
  <c r="CO55" i="8"/>
  <c r="CW55" i="8"/>
  <c r="Z58" i="8"/>
  <c r="AH58" i="8"/>
  <c r="AP58" i="8"/>
  <c r="AX58" i="8"/>
  <c r="BF58" i="8"/>
  <c r="BN58" i="8"/>
  <c r="BV58" i="8"/>
  <c r="CD58" i="8"/>
  <c r="CL58" i="8"/>
  <c r="CT58" i="8"/>
  <c r="DB15" i="8"/>
  <c r="DJ15" i="8"/>
  <c r="DC17" i="8"/>
  <c r="DK17" i="8"/>
  <c r="BS41" i="8"/>
  <c r="DA43" i="8"/>
  <c r="DI43" i="8"/>
  <c r="DB44" i="8"/>
  <c r="DJ44" i="8"/>
  <c r="S45" i="8"/>
  <c r="AA45" i="8"/>
  <c r="AI45" i="8"/>
  <c r="AQ45" i="8"/>
  <c r="AY45" i="8"/>
  <c r="BG45" i="8"/>
  <c r="BO45" i="8"/>
  <c r="BW45" i="8"/>
  <c r="CE45" i="8"/>
  <c r="CM45" i="8"/>
  <c r="CU45" i="8"/>
  <c r="CX48" i="8"/>
  <c r="DC51" i="8"/>
  <c r="DP51" i="8" s="1"/>
  <c r="DS11" i="8" s="1"/>
  <c r="DK51" i="8"/>
  <c r="CD52" i="8"/>
  <c r="DB52" i="8"/>
  <c r="DJ52" i="8"/>
  <c r="DD58" i="8"/>
  <c r="DP58" i="8" s="1"/>
  <c r="DS21" i="8" s="1"/>
  <c r="DC15" i="8"/>
  <c r="DO55" i="8" s="1"/>
  <c r="DK15" i="8"/>
  <c r="DD17" i="8"/>
  <c r="DL17" i="8"/>
  <c r="DC44" i="8"/>
  <c r="DK44" i="8"/>
  <c r="W48" i="8"/>
  <c r="AE48" i="8"/>
  <c r="AM48" i="8"/>
  <c r="AU48" i="8"/>
  <c r="BC48" i="8"/>
  <c r="BK48" i="8"/>
  <c r="BS48" i="8"/>
  <c r="CA48" i="8"/>
  <c r="CI48" i="8"/>
  <c r="CQ48" i="8"/>
  <c r="DC52" i="8"/>
  <c r="DK52" i="8"/>
  <c r="DE58" i="8"/>
  <c r="DD15" i="8"/>
  <c r="DL15" i="8"/>
  <c r="DC43" i="8"/>
  <c r="DK43" i="8"/>
  <c r="DD44" i="8"/>
  <c r="DL44" i="8"/>
  <c r="X48" i="8"/>
  <c r="AF48" i="8"/>
  <c r="AN48" i="8"/>
  <c r="AV48" i="8"/>
  <c r="BD48" i="8"/>
  <c r="BL48" i="8"/>
  <c r="BT48" i="8"/>
  <c r="CB48" i="8"/>
  <c r="CJ48" i="8"/>
  <c r="CR48" i="8"/>
  <c r="DD52" i="8"/>
  <c r="DL52" i="8"/>
  <c r="CD54" i="8"/>
  <c r="CX58" i="8"/>
  <c r="DF58" i="8"/>
  <c r="DE15" i="8"/>
  <c r="DM15" i="8"/>
  <c r="BR17" i="8"/>
  <c r="DF17" i="8"/>
  <c r="DN17" i="8"/>
  <c r="DD43" i="8"/>
  <c r="DL43" i="8"/>
  <c r="BR15" i="8"/>
  <c r="DE43" i="8"/>
  <c r="DM43" i="8"/>
  <c r="DK55" i="8" l="1"/>
  <c r="DK45" i="8"/>
  <c r="DN55" i="8"/>
  <c r="DN45" i="8"/>
  <c r="BR55" i="8"/>
  <c r="BR45" i="8"/>
  <c r="DP15" i="8"/>
  <c r="DP52" i="8"/>
  <c r="DS13" i="8" s="1"/>
  <c r="DR15" i="8"/>
  <c r="DF45" i="8"/>
  <c r="DF55" i="8"/>
  <c r="DB55" i="8"/>
  <c r="DB45" i="8"/>
  <c r="DE45" i="8"/>
  <c r="DE55" i="8"/>
  <c r="DC55" i="8"/>
  <c r="DC45" i="8"/>
  <c r="DH55" i="8"/>
  <c r="DH45" i="8"/>
  <c r="DL45" i="8"/>
  <c r="DL55" i="8"/>
  <c r="DP44" i="8"/>
  <c r="DQ14" i="8" s="1"/>
  <c r="DO45" i="8"/>
  <c r="DM45" i="8"/>
  <c r="DM55" i="8"/>
  <c r="DJ55" i="8"/>
  <c r="DJ45" i="8"/>
  <c r="DP43" i="8"/>
  <c r="DQ16" i="8" s="1"/>
  <c r="DD45" i="8"/>
  <c r="DD55" i="8"/>
  <c r="DG45" i="8"/>
  <c r="CZ55" i="8"/>
  <c r="CZ45" i="8"/>
  <c r="CX55" i="8"/>
  <c r="CX45" i="8"/>
  <c r="DP55" i="8" l="1"/>
  <c r="DS16" i="8" s="1"/>
  <c r="DP45" i="8"/>
  <c r="DQ15" i="8" s="1"/>
</calcChain>
</file>

<file path=xl/sharedStrings.xml><?xml version="1.0" encoding="utf-8"?>
<sst xmlns="http://schemas.openxmlformats.org/spreadsheetml/2006/main" count="328" uniqueCount="105">
  <si>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</si>
  <si>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</si>
  <si>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</si>
  <si>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</si>
  <si>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</si>
  <si>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</si>
  <si>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</si>
  <si>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</si>
  <si>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</si>
  <si>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</si>
  <si>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</si>
  <si>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</si>
  <si>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</si>
  <si>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</si>
  <si>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</si>
  <si>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</si>
  <si>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</si>
  <si>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</si>
  <si>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</si>
  <si>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</si>
  <si>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</si>
  <si>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</si>
  <si>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</si>
  <si>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</si>
  <si>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</si>
  <si>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</si>
  <si>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</si>
  <si>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</si>
  <si>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</si>
  <si>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</si>
  <si>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</si>
  <si>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</si>
  <si>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</si>
  <si>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</si>
  <si>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</si>
  <si>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</si>
  <si>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</si>
  <si>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</si>
  <si>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</si>
  <si>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</si>
  <si>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</si>
  <si>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</si>
  <si>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</si>
  <si>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</si>
  <si>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</si>
  <si>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</si>
  <si>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</si>
  <si>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</si>
  <si>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</si>
  <si>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</si>
  <si>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</si>
  <si>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</si>
  <si>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</si>
  <si>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</si>
  <si>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</si>
  <si>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</si>
  <si>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</si>
  <si>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</si>
  <si>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</si>
  <si>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</si>
  <si>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</si>
  <si>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</si>
  <si>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</si>
  <si>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</si>
  <si>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</si>
  <si>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</si>
  <si>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</si>
  <si>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</si>
  <si>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 xml:space="preserve">Septiembre </t>
  </si>
  <si>
    <t>Año 2021</t>
  </si>
  <si>
    <t xml:space="preserve"> Mayo</t>
  </si>
  <si>
    <t>Año 2022</t>
  </si>
  <si>
    <t xml:space="preserve">Julio </t>
  </si>
  <si>
    <t>Agosto (10)</t>
  </si>
  <si>
    <r>
      <t xml:space="preserve">PUBLICACIÓN ESTADÍSTICA MENSUAL 
</t>
    </r>
    <r>
      <rPr>
        <b/>
        <sz val="11"/>
        <color theme="0" tint="-0.499984740745262"/>
        <rFont val="Garamond"/>
        <family val="1"/>
      </rPr>
      <t>(datos al 31 de agosto de 2022)</t>
    </r>
  </si>
  <si>
    <t>31 de agosto de 2022</t>
  </si>
  <si>
    <r>
      <t xml:space="preserve">(10) Se dispone de </t>
    </r>
    <r>
      <rPr>
        <b/>
        <sz val="10"/>
        <color theme="1"/>
        <rFont val="Calibri"/>
        <family val="2"/>
        <scheme val="minor"/>
      </rPr>
      <t xml:space="preserve">164 </t>
    </r>
    <r>
      <rPr>
        <sz val="10"/>
        <color theme="1"/>
        <rFont val="Calibri"/>
        <family val="2"/>
        <scheme val="minor"/>
      </rPr>
      <t>EFIS con estructuras D01 al 31 de agosto 2022 validadas.
        Se dispone de</t>
    </r>
    <r>
      <rPr>
        <b/>
        <sz val="10"/>
        <color theme="1"/>
        <rFont val="Calibri"/>
        <family val="2"/>
        <scheme val="minor"/>
      </rPr>
      <t xml:space="preserve"> 290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1</t>
    </r>
    <r>
      <rPr>
        <sz val="10"/>
        <color theme="1"/>
        <rFont val="Calibri"/>
        <family val="2"/>
        <scheme val="minor"/>
      </rPr>
      <t xml:space="preserve"> EFIS que no cuentan con estructuras  D01 por lo que se encuentran con saldos de depósitos estimados conforme los balances mensuales (B11).</t>
    </r>
  </si>
  <si>
    <t>PATRIMONIO Y COBERTURA DEL FONDO DE SEGURO DE DEPÓSITOS DEL SISTEMA PRIVADO</t>
  </si>
  <si>
    <t>Al 31 de agosto de 2022</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</si>
  <si>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</si>
  <si>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</si>
  <si>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</si>
  <si>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</si>
  <si>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</si>
  <si>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</si>
  <si>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</si>
  <si>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</si>
  <si>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</si>
  <si>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</si>
  <si>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</si>
  <si>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</si>
  <si>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</si>
  <si>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</si>
  <si>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</si>
  <si>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</si>
  <si>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</si>
  <si>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</si>
  <si>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</si>
  <si>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</si>
  <si>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</si>
  <si>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r>
      <rPr>
        <b/>
        <sz val="10"/>
        <color theme="1"/>
        <rFont val="Calibri"/>
        <family val="2"/>
        <scheme val="minor"/>
      </rPr>
      <t>Fuente:</t>
    </r>
    <r>
      <rPr>
        <sz val="10"/>
        <color theme="1"/>
        <rFont val="Calibri"/>
        <family val="2"/>
        <scheme val="minor"/>
      </rPr>
      <t xml:space="preserve"> SB - COSEDE </t>
    </r>
  </si>
  <si>
    <t>Valor del FSDSFPS</t>
  </si>
  <si>
    <t>Depósitos asegurados SFPS (1)</t>
  </si>
  <si>
    <t>Depósitos cubiertos (2)</t>
  </si>
  <si>
    <t>Número de clientes (en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</si>
</sst>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82">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0" fontId="0" fillId="0" borderId="0" xfId="0" applyFont="1"/>
    <xf numFmtId="167" fontId="0" fillId="0" borderId="0" xfId="0" applyNumberFormat="1"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7" fontId="9" fillId="4" borderId="1"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13" fillId="3" borderId="1" xfId="3" applyFont="1" applyFill="1" applyBorder="1" applyAlignment="1">
      <alignment horizontal="left" indent="2"/>
    </xf>
    <xf numFmtId="0" fontId="13" fillId="3" borderId="1" xfId="3" applyFont="1" applyFill="1" applyBorder="1"/>
    <xf numFmtId="167" fontId="10" fillId="3" borderId="6" xfId="1" applyNumberFormat="1" applyFont="1" applyFill="1" applyBorder="1"/>
    <xf numFmtId="10" fontId="10" fillId="3" borderId="5" xfId="2" applyNumberFormat="1" applyFont="1" applyFill="1" applyBorder="1"/>
    <xf numFmtId="0" fontId="13" fillId="3" borderId="1" xfId="0" applyFont="1" applyFill="1" applyBorder="1" applyAlignment="1">
      <alignment horizontal="center" vertical="center" wrapText="1"/>
    </xf>
    <xf numFmtId="0" fontId="6" fillId="3" borderId="0" xfId="0" applyFont="1" applyFill="1" applyAlignment="1">
      <alignment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applyAlignment="1">
      <alignment vertical="center"/>
    </xf>
    <xf numFmtId="0" fontId="0" fillId="3" borderId="0" xfId="0" applyFont="1" applyFill="1" applyAlignment="1">
      <alignment horizontal="center" vertical="center"/>
    </xf>
    <xf numFmtId="0" fontId="5" fillId="3" borderId="0" xfId="0" applyFont="1" applyFill="1" applyAlignment="1">
      <alignment horizontal="center" vertical="center"/>
    </xf>
    <xf numFmtId="0" fontId="4" fillId="3" borderId="0" xfId="0" applyFont="1" applyFill="1" applyAlignment="1"/>
    <xf numFmtId="0" fontId="4" fillId="3" borderId="0" xfId="0" applyFont="1" applyFill="1" applyAlignment="1">
      <alignment horizontal="center"/>
    </xf>
    <xf numFmtId="0" fontId="0" fillId="3" borderId="0" xfId="0" applyFont="1" applyFill="1" applyBorder="1" applyAlignment="1">
      <alignment horizontal="center" vertical="center"/>
    </xf>
    <xf numFmtId="0" fontId="17" fillId="3" borderId="0" xfId="4" applyFill="1" applyBorder="1" applyAlignment="1">
      <alignment horizontal="left" vertical="center" wrapText="1"/>
    </xf>
    <xf numFmtId="0" fontId="0" fillId="3" borderId="0" xfId="0" applyFont="1" applyFill="1" applyBorder="1" applyAlignment="1">
      <alignment horizontal="center" vertical="center"/>
    </xf>
    <xf numFmtId="167" fontId="0" fillId="3" borderId="0" xfId="0" applyNumberFormat="1" applyFill="1"/>
    <xf numFmtId="167" fontId="0" fillId="3" borderId="0" xfId="1" applyNumberFormat="1" applyFont="1" applyFill="1"/>
    <xf numFmtId="10" fontId="0" fillId="3" borderId="0" xfId="2" applyNumberFormat="1" applyFont="1" applyFill="1"/>
    <xf numFmtId="166" fontId="0" fillId="3" borderId="0" xfId="1" applyNumberFormat="1" applyFont="1" applyFill="1"/>
    <xf numFmtId="0" fontId="0" fillId="3" borderId="14" xfId="0" applyFill="1" applyBorder="1"/>
    <xf numFmtId="0" fontId="3" fillId="3" borderId="0" xfId="0" applyFont="1" applyFill="1" applyBorder="1"/>
    <xf numFmtId="167" fontId="0" fillId="3" borderId="0" xfId="1" applyNumberFormat="1" applyFont="1" applyFill="1" applyBorder="1"/>
    <xf numFmtId="169" fontId="0" fillId="3" borderId="0" xfId="2" applyNumberFormat="1" applyFont="1" applyFill="1" applyBorder="1"/>
    <xf numFmtId="168" fontId="0" fillId="3" borderId="0" xfId="1" applyNumberFormat="1" applyFont="1" applyFill="1" applyBorder="1"/>
    <xf numFmtId="0" fontId="7" fillId="3" borderId="0" xfId="0" applyFont="1" applyFill="1" applyBorder="1"/>
    <xf numFmtId="0" fontId="26" fillId="3" borderId="0" xfId="0" applyFont="1" applyFill="1" applyBorder="1"/>
    <xf numFmtId="167" fontId="4" fillId="3" borderId="0" xfId="1" applyNumberFormat="1" applyFont="1" applyFill="1" applyBorder="1"/>
    <xf numFmtId="0" fontId="4" fillId="3" borderId="0" xfId="0" applyFont="1" applyFill="1" applyBorder="1" applyAlignment="1"/>
    <xf numFmtId="0" fontId="4" fillId="3" borderId="0" xfId="0" applyFont="1" applyFill="1" applyBorder="1" applyAlignment="1">
      <alignment horizontal="left"/>
    </xf>
    <xf numFmtId="0" fontId="4" fillId="3" borderId="0" xfId="0" applyFont="1" applyFill="1" applyBorder="1"/>
    <xf numFmtId="0" fontId="0" fillId="3" borderId="0" xfId="0" applyFont="1" applyFill="1" applyBorder="1"/>
    <xf numFmtId="167" fontId="0" fillId="3" borderId="0" xfId="1" applyNumberFormat="1" applyFont="1" applyFill="1" applyBorder="1" applyAlignment="1">
      <alignment horizontal="center"/>
    </xf>
    <xf numFmtId="0" fontId="27" fillId="3" borderId="0" xfId="0" applyFont="1" applyFill="1" applyBorder="1"/>
    <xf numFmtId="167" fontId="27" fillId="3" borderId="0" xfId="1" applyNumberFormat="1" applyFont="1" applyFill="1" applyBorder="1"/>
    <xf numFmtId="10" fontId="0" fillId="3" borderId="0" xfId="2" applyNumberFormat="1" applyFont="1" applyFill="1" applyBorder="1"/>
    <xf numFmtId="167" fontId="0" fillId="3" borderId="0" xfId="1" applyNumberFormat="1" applyFont="1" applyFill="1" applyBorder="1" applyAlignment="1">
      <alignment horizontal="left" wrapText="1"/>
    </xf>
    <xf numFmtId="166" fontId="0" fillId="3" borderId="0" xfId="1" applyNumberFormat="1" applyFont="1" applyFill="1" applyBorder="1"/>
    <xf numFmtId="10" fontId="0" fillId="3" borderId="0" xfId="2" applyNumberFormat="1" applyFont="1" applyFill="1" applyBorder="1" applyAlignment="1">
      <alignment horizontal="center" vertical="center"/>
    </xf>
    <xf numFmtId="0" fontId="28" fillId="3" borderId="0" xfId="0" applyFont="1" applyFill="1"/>
    <xf numFmtId="0" fontId="0" fillId="3" borderId="0" xfId="0" applyFont="1" applyFill="1" applyAlignment="1">
      <alignment horizontal="left" wrapText="1"/>
    </xf>
    <xf numFmtId="0" fontId="0" fillId="3" borderId="0" xfId="0" applyFont="1" applyFill="1"/>
    <xf numFmtId="0" fontId="0" fillId="3" borderId="0" xfId="0" applyFont="1" applyFill="1" applyAlignment="1">
      <alignment vertical="center"/>
    </xf>
    <xf numFmtId="0" fontId="0" fillId="3" borderId="0" xfId="0" applyFont="1" applyFill="1" applyAlignment="1">
      <alignment horizontal="left" vertical="center" wrapText="1"/>
    </xf>
    <xf numFmtId="166" fontId="0" fillId="3" borderId="0" xfId="1" applyNumberFormat="1" applyFont="1" applyFill="1" applyBorder="1" applyAlignment="1">
      <alignment vertical="center"/>
    </xf>
    <xf numFmtId="0" fontId="0" fillId="3" borderId="0" xfId="0" applyFont="1" applyFill="1" applyAlignment="1">
      <alignment wrapText="1"/>
    </xf>
    <xf numFmtId="10" fontId="0" fillId="3" borderId="0" xfId="2" applyNumberFormat="1" applyFont="1" applyFill="1" applyBorder="1" applyAlignment="1">
      <alignment horizontal="center"/>
    </xf>
    <xf numFmtId="166" fontId="0" fillId="3" borderId="0" xfId="0" applyNumberFormat="1" applyFont="1" applyFill="1"/>
    <xf numFmtId="167" fontId="0" fillId="3" borderId="0" xfId="0" applyNumberFormat="1" applyFont="1" applyFill="1"/>
    <xf numFmtId="167" fontId="2" fillId="3" borderId="0" xfId="0" applyNumberFormat="1" applyFont="1" applyFill="1"/>
    <xf numFmtId="0" fontId="2" fillId="3" borderId="0" xfId="0" applyFont="1" applyFill="1"/>
    <xf numFmtId="167" fontId="18" fillId="3" borderId="0" xfId="0" applyNumberFormat="1" applyFont="1" applyFill="1"/>
    <xf numFmtId="0" fontId="18" fillId="3" borderId="0" xfId="0" applyFont="1" applyFill="1"/>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162823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E18" sqref="E18"/>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99" t="s">
        <v>74</v>
      </c>
      <c r="H2" s="99"/>
    </row>
    <row r="3" spans="2:8" x14ac:dyDescent="0.3">
      <c r="G3" s="99"/>
      <c r="H3" s="99"/>
    </row>
    <row r="4" spans="2:8" x14ac:dyDescent="0.3">
      <c r="G4" s="99"/>
      <c r="H4" s="99"/>
    </row>
    <row r="5" spans="2:8" ht="24.75" customHeight="1" x14ac:dyDescent="0.3">
      <c r="G5" s="99"/>
      <c r="H5" s="99"/>
    </row>
    <row r="6" spans="2:8" x14ac:dyDescent="0.3">
      <c r="G6" s="99"/>
      <c r="H6" s="99"/>
    </row>
    <row r="8" spans="2:8" ht="18" x14ac:dyDescent="0.35">
      <c r="B8" s="96" t="s">
        <v>36</v>
      </c>
      <c r="C8" s="96"/>
      <c r="D8" s="96"/>
      <c r="E8" s="96"/>
      <c r="F8" s="96"/>
      <c r="G8" s="96"/>
      <c r="H8" s="96"/>
    </row>
    <row r="10" spans="2:8" x14ac:dyDescent="0.3">
      <c r="B10" s="43" t="s">
        <v>37</v>
      </c>
      <c r="C10" s="97" t="s">
        <v>29</v>
      </c>
      <c r="D10" s="97"/>
      <c r="E10" s="97"/>
      <c r="F10" s="97"/>
      <c r="G10" s="97"/>
      <c r="H10" s="97"/>
    </row>
    <row r="11" spans="2:8" x14ac:dyDescent="0.3">
      <c r="B11" s="42"/>
      <c r="C11" s="11"/>
      <c r="D11" s="11"/>
      <c r="E11" s="11"/>
      <c r="F11" s="11"/>
      <c r="G11" s="11"/>
      <c r="H11" s="11"/>
    </row>
    <row r="12" spans="2:8" x14ac:dyDescent="0.3">
      <c r="B12" s="44" t="s">
        <v>38</v>
      </c>
      <c r="C12" s="98" t="s">
        <v>30</v>
      </c>
      <c r="D12" s="98"/>
      <c r="E12" s="98"/>
      <c r="F12" s="98"/>
      <c r="G12" s="98"/>
      <c r="H12" s="98"/>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U91"/>
  <sheetViews>
    <sheetView zoomScale="90" zoomScaleNormal="90" workbookViewId="0">
      <pane xSplit="3" ySplit="8" topLeftCell="DK9" activePane="bottomRight" state="frozen"/>
      <selection pane="topRight" activeCell="D1" sqref="D1"/>
      <selection pane="bottomLeft" activeCell="A9" sqref="A9"/>
      <selection pane="bottomRight" activeCell="DQ21" sqref="DQ21"/>
    </sheetView>
  </sheetViews>
  <sheetFormatPr baseColWidth="10" defaultRowHeight="14.4" x14ac:dyDescent="0.3"/>
  <cols>
    <col min="1" max="1" width="2.109375" style="14" customWidth="1"/>
    <col min="2" max="2" width="19.5546875" style="14" customWidth="1"/>
    <col min="3" max="3" width="40.109375" style="14" customWidth="1"/>
    <col min="4" max="9" width="13" style="14" customWidth="1"/>
    <col min="10" max="28" width="13.88671875" style="14" customWidth="1"/>
    <col min="29" max="32" width="13" style="14" customWidth="1"/>
    <col min="33" max="33" width="13.109375" style="14" customWidth="1"/>
    <col min="34" max="50" width="13" style="14" customWidth="1"/>
    <col min="51" max="63" width="14.44140625" style="14" customWidth="1"/>
    <col min="64" max="69" width="16.88671875" style="14" customWidth="1"/>
    <col min="70" max="70" width="14.5546875" style="14" bestFit="1" customWidth="1"/>
    <col min="71" max="100" width="14.5546875" style="14" customWidth="1"/>
    <col min="101" max="101" width="15.33203125" style="14" customWidth="1"/>
    <col min="102" max="111" width="14.77734375" style="14" bestFit="1" customWidth="1"/>
    <col min="112" max="112" width="14.21875" style="14" bestFit="1" customWidth="1"/>
    <col min="113" max="119" width="14.21875" style="14" customWidth="1"/>
    <col min="120" max="121" width="16.88671875" style="14" customWidth="1"/>
    <col min="122" max="122" width="15.33203125" style="14" customWidth="1"/>
    <col min="123" max="123" width="18.88671875" style="14" bestFit="1" customWidth="1"/>
    <col min="124" max="16384" width="11.5546875" style="14"/>
  </cols>
  <sheetData>
    <row r="1" spans="2:125" ht="4.5" customHeight="1" x14ac:dyDescent="0.3"/>
    <row r="3" spans="2:125" ht="18" x14ac:dyDescent="0.3">
      <c r="B3" s="134"/>
      <c r="C3" s="134"/>
      <c r="D3" s="135" t="s">
        <v>27</v>
      </c>
      <c r="E3" s="135"/>
      <c r="F3" s="135"/>
      <c r="G3" s="135"/>
      <c r="H3" s="135"/>
      <c r="I3" s="135"/>
      <c r="J3" s="135"/>
      <c r="K3" s="135"/>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DP3" s="134"/>
      <c r="DQ3" s="136"/>
    </row>
    <row r="4" spans="2:125" ht="15.6" x14ac:dyDescent="0.3">
      <c r="B4" s="137"/>
      <c r="C4" s="137"/>
      <c r="D4" s="138" t="s">
        <v>77</v>
      </c>
      <c r="E4" s="138"/>
      <c r="F4" s="138"/>
      <c r="G4" s="138"/>
      <c r="H4" s="138"/>
      <c r="I4" s="138"/>
      <c r="J4" s="138"/>
      <c r="K4" s="138"/>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DP4" s="137"/>
      <c r="DQ4" s="139"/>
    </row>
    <row r="5" spans="2:125" x14ac:dyDescent="0.3">
      <c r="B5" s="140"/>
      <c r="C5" s="140"/>
      <c r="D5" s="138" t="s">
        <v>78</v>
      </c>
      <c r="E5" s="138"/>
      <c r="F5" s="138"/>
      <c r="G5" s="138"/>
      <c r="H5" s="138"/>
      <c r="I5" s="138"/>
      <c r="J5" s="138"/>
      <c r="K5" s="138"/>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DP5" s="140"/>
      <c r="DQ5" s="141"/>
    </row>
    <row r="6" spans="2:125" x14ac:dyDescent="0.3">
      <c r="D6" s="142" t="s">
        <v>32</v>
      </c>
      <c r="E6" s="142"/>
      <c r="F6" s="142"/>
      <c r="G6" s="142"/>
      <c r="H6" s="142"/>
      <c r="I6" s="142"/>
      <c r="J6" s="142"/>
      <c r="K6" s="142"/>
    </row>
    <row r="7" spans="2:125" x14ac:dyDescent="0.3">
      <c r="D7" s="143" t="s">
        <v>31</v>
      </c>
      <c r="E7" s="143"/>
      <c r="F7" s="144"/>
      <c r="G7" s="144"/>
      <c r="H7" s="144"/>
      <c r="I7" s="144"/>
      <c r="J7" s="144"/>
      <c r="K7" s="144"/>
      <c r="AX7" s="145"/>
      <c r="AY7" s="145"/>
      <c r="AZ7" s="145"/>
      <c r="BA7" s="145"/>
      <c r="BB7" s="145"/>
      <c r="BC7" s="145"/>
      <c r="BD7" s="145"/>
      <c r="BE7" s="145"/>
      <c r="BF7" s="145"/>
      <c r="BG7" s="145"/>
      <c r="BH7" s="145"/>
      <c r="BI7" s="145"/>
      <c r="BJ7" s="145"/>
      <c r="BK7" s="145"/>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DP7" s="146"/>
    </row>
    <row r="8" spans="2:125" x14ac:dyDescent="0.3">
      <c r="BL8" s="147"/>
      <c r="BM8" s="147"/>
      <c r="BN8" s="147"/>
      <c r="BO8" s="147"/>
      <c r="BP8" s="147"/>
      <c r="BQ8" s="147"/>
      <c r="BR8" s="147"/>
      <c r="BS8" s="148"/>
      <c r="BT8" s="148"/>
      <c r="BU8" s="148"/>
      <c r="BV8" s="148"/>
      <c r="BW8" s="148"/>
      <c r="BX8" s="148"/>
      <c r="BY8" s="148"/>
      <c r="BZ8" s="148"/>
      <c r="CA8" s="148"/>
      <c r="CB8" s="148"/>
      <c r="CC8" s="148"/>
      <c r="CD8" s="148"/>
      <c r="CE8" s="148"/>
      <c r="CF8" s="148"/>
      <c r="CG8" s="148"/>
      <c r="CH8" s="148"/>
      <c r="CI8" s="148"/>
      <c r="DP8" s="147"/>
      <c r="DS8" s="146"/>
    </row>
    <row r="9" spans="2:125" ht="30" customHeight="1" x14ac:dyDescent="0.3">
      <c r="D9" s="122" t="s">
        <v>12</v>
      </c>
      <c r="E9" s="122"/>
      <c r="F9" s="122"/>
      <c r="G9" s="122"/>
      <c r="H9" s="122"/>
      <c r="I9" s="122"/>
      <c r="J9" s="122"/>
      <c r="K9" s="122"/>
      <c r="L9" s="122"/>
      <c r="M9" s="122"/>
      <c r="N9" s="122"/>
      <c r="O9" s="122"/>
      <c r="P9" s="122" t="s">
        <v>22</v>
      </c>
      <c r="Q9" s="122"/>
      <c r="R9" s="122"/>
      <c r="S9" s="122"/>
      <c r="T9" s="122"/>
      <c r="U9" s="122"/>
      <c r="V9" s="122"/>
      <c r="W9" s="122"/>
      <c r="X9" s="122"/>
      <c r="Y9" s="122"/>
      <c r="Z9" s="122"/>
      <c r="AA9" s="122"/>
      <c r="AB9" s="122" t="s">
        <v>23</v>
      </c>
      <c r="AC9" s="122"/>
      <c r="AD9" s="122"/>
      <c r="AE9" s="122"/>
      <c r="AF9" s="122"/>
      <c r="AG9" s="122"/>
      <c r="AH9" s="122"/>
      <c r="AI9" s="122"/>
      <c r="AJ9" s="122"/>
      <c r="AK9" s="122"/>
      <c r="AL9" s="122"/>
      <c r="AM9" s="122"/>
      <c r="AN9" s="123" t="s">
        <v>24</v>
      </c>
      <c r="AO9" s="123"/>
      <c r="AP9" s="123"/>
      <c r="AQ9" s="123"/>
      <c r="AR9" s="123"/>
      <c r="AS9" s="123"/>
      <c r="AT9" s="123"/>
      <c r="AU9" s="123"/>
      <c r="AV9" s="123"/>
      <c r="AW9" s="123"/>
      <c r="AX9" s="123"/>
      <c r="AY9" s="123"/>
      <c r="AZ9" s="123" t="s">
        <v>49</v>
      </c>
      <c r="BA9" s="123"/>
      <c r="BB9" s="123"/>
      <c r="BC9" s="123"/>
      <c r="BD9" s="123"/>
      <c r="BE9" s="123"/>
      <c r="BF9" s="123"/>
      <c r="BG9" s="123"/>
      <c r="BH9" s="123"/>
      <c r="BI9" s="123"/>
      <c r="BJ9" s="123"/>
      <c r="BK9" s="123"/>
      <c r="BL9" s="123" t="s">
        <v>58</v>
      </c>
      <c r="BM9" s="123"/>
      <c r="BN9" s="123"/>
      <c r="BO9" s="123"/>
      <c r="BP9" s="123"/>
      <c r="BQ9" s="123"/>
      <c r="BR9" s="123"/>
      <c r="BS9" s="123"/>
      <c r="BT9" s="123"/>
      <c r="BU9" s="123"/>
      <c r="BV9" s="123"/>
      <c r="BW9" s="123"/>
      <c r="BX9" s="123" t="s">
        <v>60</v>
      </c>
      <c r="BY9" s="123"/>
      <c r="BZ9" s="123"/>
      <c r="CA9" s="123"/>
      <c r="CB9" s="123"/>
      <c r="CC9" s="123"/>
      <c r="CD9" s="123"/>
      <c r="CE9" s="123"/>
      <c r="CF9" s="123"/>
      <c r="CG9" s="123"/>
      <c r="CH9" s="123"/>
      <c r="CI9" s="123"/>
      <c r="CJ9" s="123" t="s">
        <v>66</v>
      </c>
      <c r="CK9" s="123"/>
      <c r="CL9" s="123"/>
      <c r="CM9" s="123"/>
      <c r="CN9" s="123"/>
      <c r="CO9" s="123"/>
      <c r="CP9" s="123"/>
      <c r="CQ9" s="123"/>
      <c r="CR9" s="123"/>
      <c r="CS9" s="123"/>
      <c r="CT9" s="123"/>
      <c r="CU9" s="123"/>
      <c r="CV9" s="123" t="s">
        <v>69</v>
      </c>
      <c r="CW9" s="123"/>
      <c r="CX9" s="123"/>
      <c r="CY9" s="123"/>
      <c r="CZ9" s="123"/>
      <c r="DA9" s="123"/>
      <c r="DB9" s="123"/>
      <c r="DC9" s="123"/>
      <c r="DD9" s="123"/>
      <c r="DE9" s="123"/>
      <c r="DF9" s="123"/>
      <c r="DG9" s="123"/>
      <c r="DH9" s="104" t="s">
        <v>71</v>
      </c>
      <c r="DI9" s="105"/>
      <c r="DJ9" s="105"/>
      <c r="DK9" s="105"/>
      <c r="DL9" s="105"/>
      <c r="DM9" s="105"/>
      <c r="DN9" s="105"/>
      <c r="DO9" s="106"/>
      <c r="DP9" s="124" t="s">
        <v>59</v>
      </c>
      <c r="DQ9" s="124" t="s">
        <v>33</v>
      </c>
      <c r="DR9" s="124" t="s">
        <v>25</v>
      </c>
      <c r="DS9" s="124" t="s">
        <v>34</v>
      </c>
    </row>
    <row r="10" spans="2:125" ht="21.75" customHeight="1" x14ac:dyDescent="0.3">
      <c r="D10" s="12" t="s">
        <v>13</v>
      </c>
      <c r="E10" s="12" t="s">
        <v>0</v>
      </c>
      <c r="F10" s="12" t="s">
        <v>15</v>
      </c>
      <c r="G10" s="12" t="s">
        <v>16</v>
      </c>
      <c r="H10" s="12" t="s">
        <v>17</v>
      </c>
      <c r="I10" s="12" t="s">
        <v>14</v>
      </c>
      <c r="J10" s="12" t="s">
        <v>4</v>
      </c>
      <c r="K10" s="12" t="s">
        <v>18</v>
      </c>
      <c r="L10" s="12" t="s">
        <v>8</v>
      </c>
      <c r="M10" s="12" t="s">
        <v>9</v>
      </c>
      <c r="N10" s="13" t="s">
        <v>10</v>
      </c>
      <c r="O10" s="13" t="s">
        <v>11</v>
      </c>
      <c r="P10" s="13" t="s">
        <v>19</v>
      </c>
      <c r="Q10" s="13" t="s">
        <v>0</v>
      </c>
      <c r="R10" s="13" t="s">
        <v>15</v>
      </c>
      <c r="S10" s="13" t="s">
        <v>16</v>
      </c>
      <c r="T10" s="13" t="s">
        <v>17</v>
      </c>
      <c r="U10" s="13" t="s">
        <v>20</v>
      </c>
      <c r="V10" s="13" t="s">
        <v>4</v>
      </c>
      <c r="W10" s="13" t="s">
        <v>21</v>
      </c>
      <c r="X10" s="13" t="s">
        <v>8</v>
      </c>
      <c r="Y10" s="13" t="s">
        <v>9</v>
      </c>
      <c r="Z10" s="13" t="s">
        <v>10</v>
      </c>
      <c r="AA10" s="125" t="s">
        <v>11</v>
      </c>
      <c r="AB10" s="125" t="s">
        <v>19</v>
      </c>
      <c r="AC10" s="13" t="s">
        <v>0</v>
      </c>
      <c r="AD10" s="13" t="s">
        <v>15</v>
      </c>
      <c r="AE10" s="13" t="s">
        <v>16</v>
      </c>
      <c r="AF10" s="13"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79</v>
      </c>
      <c r="AZ10" s="13" t="s">
        <v>19</v>
      </c>
      <c r="BA10" s="13" t="s">
        <v>0</v>
      </c>
      <c r="BB10" s="13" t="s">
        <v>15</v>
      </c>
      <c r="BC10" s="13" t="s">
        <v>16</v>
      </c>
      <c r="BD10" s="13" t="s">
        <v>51</v>
      </c>
      <c r="BE10" s="13" t="s">
        <v>20</v>
      </c>
      <c r="BF10" s="13" t="s">
        <v>4</v>
      </c>
      <c r="BG10" s="13" t="s">
        <v>21</v>
      </c>
      <c r="BH10" s="13" t="s">
        <v>8</v>
      </c>
      <c r="BI10" s="13" t="s">
        <v>9</v>
      </c>
      <c r="BJ10" s="13" t="s">
        <v>10</v>
      </c>
      <c r="BK10" s="13" t="s">
        <v>11</v>
      </c>
      <c r="BL10" s="125" t="s">
        <v>19</v>
      </c>
      <c r="BM10" s="125" t="s">
        <v>0</v>
      </c>
      <c r="BN10" s="125" t="s">
        <v>15</v>
      </c>
      <c r="BO10" s="125" t="s">
        <v>16</v>
      </c>
      <c r="BP10" s="125" t="s">
        <v>17</v>
      </c>
      <c r="BQ10" s="125" t="s">
        <v>20</v>
      </c>
      <c r="BR10" s="125" t="s">
        <v>4</v>
      </c>
      <c r="BS10" s="125" t="s">
        <v>21</v>
      </c>
      <c r="BT10" s="125" t="s">
        <v>8</v>
      </c>
      <c r="BU10" s="125" t="s">
        <v>9</v>
      </c>
      <c r="BV10" s="125" t="s">
        <v>10</v>
      </c>
      <c r="BW10" s="125" t="s">
        <v>11</v>
      </c>
      <c r="BX10" s="125" t="s">
        <v>19</v>
      </c>
      <c r="BY10" s="125" t="s">
        <v>0</v>
      </c>
      <c r="BZ10" s="125" t="s">
        <v>15</v>
      </c>
      <c r="CA10" s="125" t="s">
        <v>16</v>
      </c>
      <c r="CB10" s="125" t="s">
        <v>17</v>
      </c>
      <c r="CC10" s="125" t="s">
        <v>20</v>
      </c>
      <c r="CD10" s="125" t="s">
        <v>4</v>
      </c>
      <c r="CE10" s="125" t="s">
        <v>21</v>
      </c>
      <c r="CF10" s="125" t="s">
        <v>8</v>
      </c>
      <c r="CG10" s="125" t="s">
        <v>65</v>
      </c>
      <c r="CH10" s="125" t="s">
        <v>10</v>
      </c>
      <c r="CI10" s="125" t="s">
        <v>11</v>
      </c>
      <c r="CJ10" s="125" t="s">
        <v>80</v>
      </c>
      <c r="CK10" s="125" t="s">
        <v>81</v>
      </c>
      <c r="CL10" s="125" t="s">
        <v>82</v>
      </c>
      <c r="CM10" s="125" t="s">
        <v>54</v>
      </c>
      <c r="CN10" s="125" t="s">
        <v>83</v>
      </c>
      <c r="CO10" s="125" t="s">
        <v>20</v>
      </c>
      <c r="CP10" s="125" t="s">
        <v>84</v>
      </c>
      <c r="CQ10" s="125" t="s">
        <v>85</v>
      </c>
      <c r="CR10" s="125" t="s">
        <v>8</v>
      </c>
      <c r="CS10" s="125" t="s">
        <v>9</v>
      </c>
      <c r="CT10" s="125" t="s">
        <v>10</v>
      </c>
      <c r="CU10" s="125" t="s">
        <v>11</v>
      </c>
      <c r="CV10" s="125" t="s">
        <v>13</v>
      </c>
      <c r="CW10" s="125" t="s">
        <v>0</v>
      </c>
      <c r="CX10" s="125" t="s">
        <v>15</v>
      </c>
      <c r="CY10" s="125" t="s">
        <v>16</v>
      </c>
      <c r="CZ10" s="125" t="s">
        <v>17</v>
      </c>
      <c r="DA10" s="125" t="s">
        <v>20</v>
      </c>
      <c r="DB10" s="125" t="s">
        <v>4</v>
      </c>
      <c r="DC10" s="125" t="s">
        <v>21</v>
      </c>
      <c r="DD10" s="125" t="s">
        <v>8</v>
      </c>
      <c r="DE10" s="125" t="s">
        <v>86</v>
      </c>
      <c r="DF10" s="125" t="s">
        <v>10</v>
      </c>
      <c r="DG10" s="125" t="s">
        <v>11</v>
      </c>
      <c r="DH10" s="125" t="s">
        <v>19</v>
      </c>
      <c r="DI10" s="125" t="s">
        <v>0</v>
      </c>
      <c r="DJ10" s="125" t="s">
        <v>15</v>
      </c>
      <c r="DK10" s="125" t="s">
        <v>16</v>
      </c>
      <c r="DL10" s="125" t="s">
        <v>17</v>
      </c>
      <c r="DM10" s="125" t="s">
        <v>20</v>
      </c>
      <c r="DN10" s="125" t="s">
        <v>4</v>
      </c>
      <c r="DO10" s="125" t="s">
        <v>21</v>
      </c>
      <c r="DP10" s="124"/>
      <c r="DQ10" s="124"/>
      <c r="DR10" s="124"/>
      <c r="DS10" s="124"/>
    </row>
    <row r="11" spans="2:125" s="15" customFormat="1" x14ac:dyDescent="0.3">
      <c r="B11" s="16" t="s">
        <v>87</v>
      </c>
      <c r="C11" s="17"/>
      <c r="D11" s="18">
        <v>636427.39296000008</v>
      </c>
      <c r="E11" s="18">
        <v>651437.4635800001</v>
      </c>
      <c r="F11" s="18">
        <v>665823.90379999997</v>
      </c>
      <c r="G11" s="18">
        <v>680703.87474</v>
      </c>
      <c r="H11" s="18">
        <v>695167.67573000002</v>
      </c>
      <c r="I11" s="18">
        <v>709798.50873999996</v>
      </c>
      <c r="J11" s="18">
        <v>656226.60291000002</v>
      </c>
      <c r="K11" s="18">
        <v>669350.04471000005</v>
      </c>
      <c r="L11" s="18">
        <v>682547.90467999992</v>
      </c>
      <c r="M11" s="18">
        <v>695863.45725999994</v>
      </c>
      <c r="N11" s="18">
        <v>709272.74294000003</v>
      </c>
      <c r="O11" s="18">
        <v>721287.74194000009</v>
      </c>
      <c r="P11" s="18">
        <v>736667.64346000005</v>
      </c>
      <c r="Q11" s="18">
        <v>753070.34011999995</v>
      </c>
      <c r="R11" s="18">
        <v>767946.32638999994</v>
      </c>
      <c r="S11" s="18">
        <v>783366.58709000004</v>
      </c>
      <c r="T11" s="18">
        <v>796985.0602999999</v>
      </c>
      <c r="U11" s="18">
        <v>798405.67434000003</v>
      </c>
      <c r="V11" s="18">
        <v>799898.35149000003</v>
      </c>
      <c r="W11" s="18">
        <v>841478.08945000009</v>
      </c>
      <c r="X11" s="18">
        <v>842832.95685000008</v>
      </c>
      <c r="Y11" s="18">
        <v>871525.97148000007</v>
      </c>
      <c r="Z11" s="18">
        <v>886742.42700000003</v>
      </c>
      <c r="AA11" s="18">
        <v>902376.56709000003</v>
      </c>
      <c r="AB11" s="18">
        <v>918452.70615999994</v>
      </c>
      <c r="AC11" s="18">
        <v>920000.40287999995</v>
      </c>
      <c r="AD11" s="18">
        <v>950377.26059000008</v>
      </c>
      <c r="AE11" s="18">
        <v>966835.73677999992</v>
      </c>
      <c r="AF11" s="18">
        <v>982862.01114999992</v>
      </c>
      <c r="AG11" s="18">
        <v>998471.15755999996</v>
      </c>
      <c r="AH11" s="18">
        <v>1014016.77933</v>
      </c>
      <c r="AI11" s="18">
        <v>1029421.15478</v>
      </c>
      <c r="AJ11" s="18">
        <v>1044316.50422</v>
      </c>
      <c r="AK11" s="18">
        <v>1059432.28819</v>
      </c>
      <c r="AL11" s="18">
        <v>1074228.9712799999</v>
      </c>
      <c r="AM11" s="18">
        <v>1089147.1566900001</v>
      </c>
      <c r="AN11" s="18">
        <v>1103945.5025299999</v>
      </c>
      <c r="AO11" s="126">
        <v>1118833.04669</v>
      </c>
      <c r="AP11" s="126">
        <v>1133971.13078</v>
      </c>
      <c r="AQ11" s="126">
        <v>1148916.96383</v>
      </c>
      <c r="AR11" s="126">
        <v>1164319.7718499999</v>
      </c>
      <c r="AS11" s="126">
        <v>1179435.98841</v>
      </c>
      <c r="AT11" s="126">
        <v>1194604.8214400001</v>
      </c>
      <c r="AU11" s="126">
        <v>1179519.1615800001</v>
      </c>
      <c r="AV11" s="126">
        <v>1194263.3730599999</v>
      </c>
      <c r="AW11" s="126">
        <v>1209408.28364</v>
      </c>
      <c r="AX11" s="126">
        <v>1225001.16102</v>
      </c>
      <c r="AY11" s="126">
        <v>1235529.96306</v>
      </c>
      <c r="AZ11" s="127">
        <v>1212962.2196299999</v>
      </c>
      <c r="BA11" s="127">
        <v>1229098.98756</v>
      </c>
      <c r="BB11" s="127">
        <v>1245162.81935</v>
      </c>
      <c r="BC11" s="127">
        <v>1260965.2733</v>
      </c>
      <c r="BD11" s="127">
        <v>1278301.1664499999</v>
      </c>
      <c r="BE11" s="127">
        <v>1294360.3786299999</v>
      </c>
      <c r="BF11" s="127">
        <v>1310727.05785</v>
      </c>
      <c r="BG11" s="127">
        <v>1327247.78828</v>
      </c>
      <c r="BH11" s="127">
        <v>1341818.7971199998</v>
      </c>
      <c r="BI11" s="127">
        <v>1359498.66035</v>
      </c>
      <c r="BJ11" s="127">
        <v>1375604.88686</v>
      </c>
      <c r="BK11" s="127">
        <v>1391981.5059</v>
      </c>
      <c r="BL11" s="127">
        <v>1407060.7225899999</v>
      </c>
      <c r="BM11" s="127">
        <v>1407060.7226</v>
      </c>
      <c r="BN11" s="127">
        <v>1437423.4697100001</v>
      </c>
      <c r="BO11" s="127">
        <v>1452875.2148599999</v>
      </c>
      <c r="BP11" s="127">
        <v>1468356.64014</v>
      </c>
      <c r="BQ11" s="127">
        <v>1483560.54684</v>
      </c>
      <c r="BR11" s="127">
        <f>1498740966.27/1000</f>
        <v>1498740.96627</v>
      </c>
      <c r="BS11" s="127">
        <v>1513988.5929700001</v>
      </c>
      <c r="BT11" s="127">
        <v>1529308.7025100002</v>
      </c>
      <c r="BU11" s="127">
        <v>1544662.99456</v>
      </c>
      <c r="BV11" s="127">
        <v>1544662.99456</v>
      </c>
      <c r="BW11" s="127">
        <v>1600512.59745</v>
      </c>
      <c r="BX11" s="127">
        <v>1616029.9681599999</v>
      </c>
      <c r="BY11" s="127">
        <v>1631501.4346399999</v>
      </c>
      <c r="BZ11" s="127">
        <v>1646990.7033200001</v>
      </c>
      <c r="CA11" s="127">
        <v>1662754.8817900002</v>
      </c>
      <c r="CB11" s="127">
        <v>1678734.4581100002</v>
      </c>
      <c r="CC11" s="127">
        <v>1694613.6231199999</v>
      </c>
      <c r="CD11" s="127">
        <v>1710540.9056099998</v>
      </c>
      <c r="CE11" s="127">
        <v>1726488.9753399999</v>
      </c>
      <c r="CF11" s="127">
        <v>1742679.90637</v>
      </c>
      <c r="CG11" s="127">
        <v>1758823.0756600001</v>
      </c>
      <c r="CH11" s="127">
        <v>1774945.3194299999</v>
      </c>
      <c r="CI11" s="127">
        <v>1826938.3748300001</v>
      </c>
      <c r="CJ11" s="127">
        <v>1826938.3748300001</v>
      </c>
      <c r="CK11" s="127">
        <v>1860418.1999900001</v>
      </c>
      <c r="CL11" s="127">
        <v>1877337.3846100001</v>
      </c>
      <c r="CM11" s="127">
        <v>1877337.3846100001</v>
      </c>
      <c r="CN11" s="127">
        <v>1877337.38047</v>
      </c>
      <c r="CO11" s="127">
        <v>1877343.20456</v>
      </c>
      <c r="CP11" s="127">
        <v>1944561.6139199999</v>
      </c>
      <c r="CQ11" s="127">
        <v>1961547.44334</v>
      </c>
      <c r="CR11" s="127">
        <v>1978650.7178720001</v>
      </c>
      <c r="CS11" s="127">
        <v>1996023.0040599999</v>
      </c>
      <c r="CT11" s="127">
        <v>2013726.6694199999</v>
      </c>
      <c r="CU11" s="127">
        <v>2075746.78498</v>
      </c>
      <c r="CV11" s="127">
        <v>2075746.78498</v>
      </c>
      <c r="CW11" s="127">
        <v>2075746.78498</v>
      </c>
      <c r="CX11" s="127">
        <v>2075746.78498</v>
      </c>
      <c r="CY11" s="127">
        <f>2131397818.64/1000</f>
        <v>2131397.8186400002</v>
      </c>
      <c r="CZ11" s="127">
        <f>2168807467.47/1000</f>
        <v>2168807.4674699996</v>
      </c>
      <c r="DA11" s="127">
        <f>2187702538.62/1000</f>
        <v>2187702.5386199998</v>
      </c>
      <c r="DB11" s="127">
        <f>2187844677.63/1000</f>
        <v>2187844.6776300003</v>
      </c>
      <c r="DC11" s="127">
        <f>2225915575.76/1000</f>
        <v>2225915.5757600004</v>
      </c>
      <c r="DD11" s="127">
        <f>2245094787.89/1000</f>
        <v>2245094.7878899998</v>
      </c>
      <c r="DE11" s="127">
        <f>2245094787.89/1000</f>
        <v>2245094.7878899998</v>
      </c>
      <c r="DF11" s="127">
        <f>2284322308.53/1000</f>
        <v>2284322.30853</v>
      </c>
      <c r="DG11" s="127">
        <f>2352514799.44/1000</f>
        <v>2352514.7994400002</v>
      </c>
      <c r="DH11" s="127">
        <f>2372815893.66/1000</f>
        <v>2372815.8936600001</v>
      </c>
      <c r="DI11" s="127">
        <f>2393271602.26/1000</f>
        <v>2393271.6022600001</v>
      </c>
      <c r="DJ11" s="127">
        <f>2413889736.21/1000</f>
        <v>2413889.7362100002</v>
      </c>
      <c r="DK11" s="127">
        <f>2434350018.32/1000</f>
        <v>2434350.0183200003</v>
      </c>
      <c r="DL11" s="127">
        <f>2442982744.3/1000</f>
        <v>2442982.7443000004</v>
      </c>
      <c r="DM11" s="127">
        <f>2475362764.91/1000</f>
        <v>2475362.7649099999</v>
      </c>
      <c r="DN11" s="127">
        <f>2496108770.65/1000</f>
        <v>2496108.7706500003</v>
      </c>
      <c r="DO11" s="127">
        <f>2516650357.86/1000</f>
        <v>2516650.3578600003</v>
      </c>
      <c r="DP11" s="92">
        <f>IFERROR(DO11/DN11-1,)</f>
        <v>8.2294439455259383E-3</v>
      </c>
      <c r="DQ11" s="92">
        <f>+DP41</f>
        <v>1.0828352994184165E-2</v>
      </c>
      <c r="DR11" s="92">
        <f>DO11/DC11-1</f>
        <v>0.13061357100245519</v>
      </c>
      <c r="DS11" s="92">
        <f>+DP51</f>
        <v>0.13783675173078147</v>
      </c>
      <c r="DT11" s="14"/>
      <c r="DU11" s="14"/>
    </row>
    <row r="12" spans="2:125" s="20" customFormat="1" ht="19.5" customHeight="1" x14ac:dyDescent="0.3">
      <c r="B12" s="21"/>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22"/>
      <c r="CY12" s="22"/>
      <c r="CZ12" s="22"/>
      <c r="DA12" s="22"/>
      <c r="DB12" s="22"/>
      <c r="DC12" s="22"/>
      <c r="DD12" s="22"/>
      <c r="DE12" s="22"/>
      <c r="DF12" s="22"/>
      <c r="DG12" s="22"/>
      <c r="DH12" s="22"/>
      <c r="DI12" s="22"/>
      <c r="DJ12" s="22"/>
      <c r="DK12" s="22"/>
      <c r="DL12" s="22"/>
      <c r="DM12" s="22"/>
      <c r="DN12" s="22"/>
      <c r="DO12" s="22"/>
      <c r="DP12" s="22"/>
      <c r="DQ12" s="22"/>
      <c r="DR12" s="22"/>
      <c r="DS12" s="22"/>
      <c r="DT12" s="33"/>
      <c r="DU12" s="14"/>
    </row>
    <row r="13" spans="2:125" s="15" customFormat="1" x14ac:dyDescent="0.3">
      <c r="B13" s="128" t="s">
        <v>88</v>
      </c>
      <c r="C13" s="128"/>
      <c r="D13" s="18">
        <v>23039730.399069998</v>
      </c>
      <c r="E13" s="18">
        <v>23216502.394959997</v>
      </c>
      <c r="F13" s="18">
        <v>23200134.916060001</v>
      </c>
      <c r="G13" s="18">
        <v>22931971.211789995</v>
      </c>
      <c r="H13" s="18">
        <v>23465511.547910001</v>
      </c>
      <c r="I13" s="18">
        <v>23583851.294439998</v>
      </c>
      <c r="J13" s="18">
        <v>23775923.11101</v>
      </c>
      <c r="K13" s="18">
        <v>23950831.631220002</v>
      </c>
      <c r="L13" s="18">
        <v>23859950.107140001</v>
      </c>
      <c r="M13" s="18">
        <v>24297588.58997</v>
      </c>
      <c r="N13" s="18">
        <v>24982216.66003</v>
      </c>
      <c r="O13" s="18">
        <v>26216643.96012</v>
      </c>
      <c r="P13" s="18">
        <v>25681871.336139999</v>
      </c>
      <c r="Q13" s="18">
        <v>25687026.506510001</v>
      </c>
      <c r="R13" s="18">
        <v>26133854.378850002</v>
      </c>
      <c r="S13" s="18">
        <v>26074140.737900008</v>
      </c>
      <c r="T13" s="18">
        <v>26210496.120870002</v>
      </c>
      <c r="U13" s="18">
        <v>26485196.583020002</v>
      </c>
      <c r="V13" s="18">
        <v>26921686.813659996</v>
      </c>
      <c r="W13" s="18">
        <v>27260698.393219996</v>
      </c>
      <c r="X13" s="18">
        <v>27440200.829380002</v>
      </c>
      <c r="Y13" s="18">
        <v>27489642.7958</v>
      </c>
      <c r="Z13" s="18">
        <v>27725132.53864</v>
      </c>
      <c r="AA13" s="18">
        <v>28882605.387319997</v>
      </c>
      <c r="AB13" s="18">
        <v>28145377.839000005</v>
      </c>
      <c r="AC13" s="18">
        <v>28170075.067880005</v>
      </c>
      <c r="AD13" s="18">
        <v>28261236.102080006</v>
      </c>
      <c r="AE13" s="18">
        <v>27601335.485939998</v>
      </c>
      <c r="AF13" s="18">
        <v>27457791.189799998</v>
      </c>
      <c r="AG13" s="18">
        <v>27134906.566179998</v>
      </c>
      <c r="AH13" s="18">
        <v>26290670.617379989</v>
      </c>
      <c r="AI13" s="18">
        <v>26534075.271300007</v>
      </c>
      <c r="AJ13" s="18">
        <v>26058802</v>
      </c>
      <c r="AK13" s="18">
        <v>25780318.975729998</v>
      </c>
      <c r="AL13" s="18">
        <v>25547959.600619998</v>
      </c>
      <c r="AM13" s="18">
        <v>25755769.158399999</v>
      </c>
      <c r="AN13" s="18">
        <v>26013789.543090001</v>
      </c>
      <c r="AO13" s="18">
        <v>26402874.751709998</v>
      </c>
      <c r="AP13" s="18">
        <v>27147236.43228</v>
      </c>
      <c r="AQ13" s="18">
        <v>26820229.364300001</v>
      </c>
      <c r="AR13" s="18">
        <v>26574054.37074</v>
      </c>
      <c r="AS13" s="18">
        <v>27085158.349300001</v>
      </c>
      <c r="AT13" s="18">
        <v>26398590.631409999</v>
      </c>
      <c r="AU13" s="18">
        <v>26969030.276999999</v>
      </c>
      <c r="AV13" s="18">
        <v>27445831.604499988</v>
      </c>
      <c r="AW13" s="18">
        <v>27559048.672499999</v>
      </c>
      <c r="AX13" s="18">
        <v>27774226.882909998</v>
      </c>
      <c r="AY13" s="18">
        <v>29330985.643129196</v>
      </c>
      <c r="AZ13" s="18">
        <v>28641769.848919999</v>
      </c>
      <c r="BA13" s="18">
        <v>28980349.145030007</v>
      </c>
      <c r="BB13" s="18">
        <v>29763766.873709995</v>
      </c>
      <c r="BC13" s="18">
        <v>29352869.943109989</v>
      </c>
      <c r="BD13" s="18">
        <v>28903842.818229999</v>
      </c>
      <c r="BE13" s="18">
        <v>29283355.283360001</v>
      </c>
      <c r="BF13" s="18">
        <v>28993262.167970017</v>
      </c>
      <c r="BG13" s="18">
        <v>28945101.439199995</v>
      </c>
      <c r="BH13" s="18">
        <v>28751593.479649998</v>
      </c>
      <c r="BI13" s="18">
        <v>28981707.340839997</v>
      </c>
      <c r="BJ13" s="18">
        <v>29521608.930680003</v>
      </c>
      <c r="BK13" s="18">
        <v>30542308.711770006</v>
      </c>
      <c r="BL13" s="18">
        <v>30041395.127980001</v>
      </c>
      <c r="BM13" s="18">
        <v>30263475.35021</v>
      </c>
      <c r="BN13" s="18">
        <v>30780057.142740361</v>
      </c>
      <c r="BO13" s="18">
        <v>30341874.32192</v>
      </c>
      <c r="BP13" s="18">
        <v>30191131.354819994</v>
      </c>
      <c r="BQ13" s="18">
        <v>30280018.384389993</v>
      </c>
      <c r="BR13" s="18">
        <f>30342062232.38/1000</f>
        <v>30342062.232380003</v>
      </c>
      <c r="BS13" s="18">
        <v>30407710.533650003</v>
      </c>
      <c r="BT13" s="18">
        <v>30205250.58732</v>
      </c>
      <c r="BU13" s="18">
        <v>30088816.197620001</v>
      </c>
      <c r="BV13" s="18">
        <v>30432248.193460006</v>
      </c>
      <c r="BW13" s="18">
        <v>31092718.46407</v>
      </c>
      <c r="BX13" s="18">
        <v>30781958.541850008</v>
      </c>
      <c r="BY13" s="18">
        <v>31149976.416720007</v>
      </c>
      <c r="BZ13" s="18">
        <v>31350277.545699999</v>
      </c>
      <c r="CA13" s="18">
        <v>31591729.624090001</v>
      </c>
      <c r="CB13" s="18">
        <v>31363789.168480001</v>
      </c>
      <c r="CC13" s="18">
        <v>31498400.114229999</v>
      </c>
      <c r="CD13" s="18">
        <v>31854132.662289999</v>
      </c>
      <c r="CE13" s="18">
        <v>31980076.376880001</v>
      </c>
      <c r="CF13" s="18">
        <v>31910379.936179999</v>
      </c>
      <c r="CG13" s="18">
        <v>31961715.841680005</v>
      </c>
      <c r="CH13" s="18">
        <v>32106356.202779993</v>
      </c>
      <c r="CI13" s="18">
        <v>33660322.116149999</v>
      </c>
      <c r="CJ13" s="18">
        <v>33448110.218619999</v>
      </c>
      <c r="CK13" s="18">
        <v>33886236.101609997</v>
      </c>
      <c r="CL13" s="18">
        <v>33179942.971859999</v>
      </c>
      <c r="CM13" s="18">
        <v>33052499.539790001</v>
      </c>
      <c r="CN13" s="18">
        <v>33265483.239289999</v>
      </c>
      <c r="CO13" s="18">
        <v>33601255.443259999</v>
      </c>
      <c r="CP13" s="18">
        <v>33891167.779730007</v>
      </c>
      <c r="CQ13" s="18">
        <v>34226546.894709997</v>
      </c>
      <c r="CR13" s="18">
        <v>34685771.214939997</v>
      </c>
      <c r="CS13" s="18">
        <v>35701515.533320002</v>
      </c>
      <c r="CT13" s="18">
        <v>35646719.195469998</v>
      </c>
      <c r="CU13" s="18">
        <v>37544662.24385</v>
      </c>
      <c r="CV13" s="18">
        <v>37083376.856680006</v>
      </c>
      <c r="CW13" s="18">
        <v>36969565.690809995</v>
      </c>
      <c r="CX13" s="18">
        <f>37735591789.94/1000</f>
        <v>37735591.78994</v>
      </c>
      <c r="CY13" s="18">
        <f>37470887645.89/1000</f>
        <v>37470887.645889997</v>
      </c>
      <c r="CZ13" s="18">
        <f>37681187612.47/1000</f>
        <v>37681187.612470001</v>
      </c>
      <c r="DA13" s="18">
        <f>37969327060.01/1000</f>
        <v>37969327.060010001</v>
      </c>
      <c r="DB13" s="18">
        <f>38242095933.67/1000</f>
        <v>38242095.933669999</v>
      </c>
      <c r="DC13" s="18">
        <f>38543016331.68/1000</f>
        <v>38543016.33168</v>
      </c>
      <c r="DD13" s="18">
        <f>38993444576.92/1000</f>
        <v>38993444.576919995</v>
      </c>
      <c r="DE13" s="18">
        <f>39298897037.06/1000</f>
        <v>39298897.03706</v>
      </c>
      <c r="DF13" s="18">
        <f>39583133177.68/1000</f>
        <v>39583133.177680001</v>
      </c>
      <c r="DG13" s="18">
        <f>41158397017.93/1000</f>
        <v>41158397.017930001</v>
      </c>
      <c r="DH13" s="18">
        <f>40412864009.28/1000</f>
        <v>40412864.009279996</v>
      </c>
      <c r="DI13" s="18">
        <f>41022016910.19/1000</f>
        <v>41022016.910190001</v>
      </c>
      <c r="DJ13" s="18">
        <f>41688909672.83/1000</f>
        <v>41688909.672830001</v>
      </c>
      <c r="DK13" s="18">
        <f>41027343048.96/1000</f>
        <v>41027343.04896</v>
      </c>
      <c r="DL13" s="18">
        <f>40950889163.55/1000</f>
        <v>40950889.163550004</v>
      </c>
      <c r="DM13" s="18">
        <f>40880378272.78/1000</f>
        <v>40880378.272780001</v>
      </c>
      <c r="DN13" s="18">
        <f>40966254164.59/1000</f>
        <v>40966254.164589994</v>
      </c>
      <c r="DO13" s="18">
        <f>41665888783.05/1000</f>
        <v>41665888.783050001</v>
      </c>
      <c r="DP13" s="92">
        <f t="shared" ref="DP13:DP21" si="0">IFERROR(DO13/DN13-1,)</f>
        <v>1.7078315621659845E-2</v>
      </c>
      <c r="DQ13" s="92">
        <f>+DP42</f>
        <v>6.6176375604147797E-3</v>
      </c>
      <c r="DR13" s="92">
        <f t="shared" ref="DR13:DR22" si="1">DO13/DC13-1</f>
        <v>8.1023042527244904E-2</v>
      </c>
      <c r="DS13" s="92">
        <f>+DP52</f>
        <v>9.7764525322523443E-2</v>
      </c>
      <c r="DT13" s="149"/>
      <c r="DU13" s="14"/>
    </row>
    <row r="14" spans="2:125" s="15" customFormat="1" x14ac:dyDescent="0.3">
      <c r="B14" s="129" t="s">
        <v>5</v>
      </c>
      <c r="C14" s="130"/>
      <c r="D14" s="85">
        <v>6994144.8533399999</v>
      </c>
      <c r="E14" s="85">
        <v>7016510.9826600002</v>
      </c>
      <c r="F14" s="85">
        <v>7129651.9875499988</v>
      </c>
      <c r="G14" s="85">
        <v>7387845.6044899998</v>
      </c>
      <c r="H14" s="85">
        <v>7389606.5550800003</v>
      </c>
      <c r="I14" s="85">
        <v>7408486.0351900002</v>
      </c>
      <c r="J14" s="85">
        <v>7366062.3362400001</v>
      </c>
      <c r="K14" s="85">
        <v>7492864.99003</v>
      </c>
      <c r="L14" s="85">
        <v>7373271.61527</v>
      </c>
      <c r="M14" s="85">
        <v>7414100.9293900002</v>
      </c>
      <c r="N14" s="85">
        <v>7519913.2250199998</v>
      </c>
      <c r="O14" s="85">
        <v>8002418.0117699997</v>
      </c>
      <c r="P14" s="85">
        <v>7885243.9346899996</v>
      </c>
      <c r="Q14" s="85">
        <v>7946124.03632</v>
      </c>
      <c r="R14" s="85">
        <v>7962113.3195799999</v>
      </c>
      <c r="S14" s="85">
        <v>8436918.516760001</v>
      </c>
      <c r="T14" s="85">
        <v>8317596.8514700001</v>
      </c>
      <c r="U14" s="85">
        <v>8224902.3901399998</v>
      </c>
      <c r="V14" s="85">
        <v>8224439.7081400007</v>
      </c>
      <c r="W14" s="85">
        <v>8361600.9384699995</v>
      </c>
      <c r="X14" s="85">
        <v>8196735.8712600004</v>
      </c>
      <c r="Y14" s="85">
        <v>8259716.5804599989</v>
      </c>
      <c r="Z14" s="85">
        <v>8268984.0529199997</v>
      </c>
      <c r="AA14" s="85">
        <v>8772604.8428299986</v>
      </c>
      <c r="AB14" s="85">
        <v>8482294.7514300011</v>
      </c>
      <c r="AC14" s="85">
        <v>8462893.1820700001</v>
      </c>
      <c r="AD14" s="85">
        <v>8420230.5559</v>
      </c>
      <c r="AE14" s="85">
        <v>8688945.2386700008</v>
      </c>
      <c r="AF14" s="85">
        <v>8534573.7641599998</v>
      </c>
      <c r="AG14" s="85">
        <v>8382193.6753199995</v>
      </c>
      <c r="AH14" s="85">
        <v>8082081.0424599983</v>
      </c>
      <c r="AI14" s="85">
        <v>8217852.2402499998</v>
      </c>
      <c r="AJ14" s="85">
        <v>8148560</v>
      </c>
      <c r="AK14" s="85">
        <v>8075233.8384099994</v>
      </c>
      <c r="AL14" s="85">
        <v>7946083.8174200011</v>
      </c>
      <c r="AM14" s="85">
        <v>8230305.7760099992</v>
      </c>
      <c r="AN14" s="85">
        <v>7992056.4887700006</v>
      </c>
      <c r="AO14" s="85">
        <v>7901705.4159800019</v>
      </c>
      <c r="AP14" s="85">
        <v>7899833.4091200018</v>
      </c>
      <c r="AQ14" s="85">
        <v>8195999.4153999984</v>
      </c>
      <c r="AR14" s="85">
        <v>7931478.9655700009</v>
      </c>
      <c r="AS14" s="85">
        <v>8017643.3945500003</v>
      </c>
      <c r="AT14" s="85">
        <v>7752000.8466100004</v>
      </c>
      <c r="AU14" s="85">
        <v>7726612.8368399991</v>
      </c>
      <c r="AV14" s="85">
        <v>7797343.7965700002</v>
      </c>
      <c r="AW14" s="85">
        <v>7829862.4754999997</v>
      </c>
      <c r="AX14" s="85">
        <v>7820966.6675699996</v>
      </c>
      <c r="AY14" s="85">
        <v>8329910.8248300254</v>
      </c>
      <c r="AZ14" s="85">
        <v>8017671.641289996</v>
      </c>
      <c r="BA14" s="85">
        <v>8194147.8079699995</v>
      </c>
      <c r="BB14" s="85">
        <v>8154621.3496000022</v>
      </c>
      <c r="BC14" s="85">
        <v>8449901.6292599998</v>
      </c>
      <c r="BD14" s="85">
        <v>8183348.7095799996</v>
      </c>
      <c r="BE14" s="85">
        <v>8255025.81831</v>
      </c>
      <c r="BF14" s="85">
        <v>8140483.8602500129</v>
      </c>
      <c r="BG14" s="85">
        <v>8213908.9264799999</v>
      </c>
      <c r="BH14" s="85">
        <v>8203236.0456600031</v>
      </c>
      <c r="BI14" s="85">
        <v>8091128.8479399998</v>
      </c>
      <c r="BJ14" s="85">
        <v>8050809.9094900014</v>
      </c>
      <c r="BK14" s="85">
        <v>8650004.6982900035</v>
      </c>
      <c r="BL14" s="85">
        <v>8310858.1372100022</v>
      </c>
      <c r="BM14" s="85">
        <v>8323366.7159500001</v>
      </c>
      <c r="BN14" s="85">
        <v>8450757.7545599788</v>
      </c>
      <c r="BO14" s="85">
        <v>8825815.8784899991</v>
      </c>
      <c r="BP14" s="85">
        <v>8557664.3405399993</v>
      </c>
      <c r="BQ14" s="85">
        <v>8601266.203639999</v>
      </c>
      <c r="BR14" s="85">
        <f>8460620989.98/1000</f>
        <v>8460620.9899799991</v>
      </c>
      <c r="BS14" s="85">
        <v>8473243.6787500009</v>
      </c>
      <c r="BT14" s="85">
        <v>8463246.6894399989</v>
      </c>
      <c r="BU14" s="85">
        <v>8362267.5649700006</v>
      </c>
      <c r="BV14" s="85">
        <v>8278799.0685600014</v>
      </c>
      <c r="BW14" s="85">
        <v>8840520.8093599994</v>
      </c>
      <c r="BX14" s="85">
        <v>8506891.37029</v>
      </c>
      <c r="BY14" s="85">
        <v>8463755.8168972246</v>
      </c>
      <c r="BZ14" s="85">
        <v>8425012.33025866</v>
      </c>
      <c r="CA14" s="85">
        <v>8728136.4571800008</v>
      </c>
      <c r="CB14" s="85">
        <v>8638170.8062100001</v>
      </c>
      <c r="CC14" s="85">
        <v>8562888.1583399996</v>
      </c>
      <c r="CD14" s="85">
        <v>8551836.4122400004</v>
      </c>
      <c r="CE14" s="85">
        <v>8595287.5861600004</v>
      </c>
      <c r="CF14" s="85">
        <v>8267080.8469899995</v>
      </c>
      <c r="CG14" s="85">
        <v>8405022.306040002</v>
      </c>
      <c r="CH14" s="85">
        <v>8395217.4963600002</v>
      </c>
      <c r="CI14" s="85">
        <v>8895125.1687400006</v>
      </c>
      <c r="CJ14" s="85">
        <v>8681185.7494099997</v>
      </c>
      <c r="CK14" s="85">
        <v>8705181.4054400008</v>
      </c>
      <c r="CL14" s="85">
        <v>8594301.1356700007</v>
      </c>
      <c r="CM14" s="85">
        <v>9080813.7074100003</v>
      </c>
      <c r="CN14" s="85">
        <v>9052372.6055800002</v>
      </c>
      <c r="CO14" s="85">
        <v>8928932.01633</v>
      </c>
      <c r="CP14" s="85">
        <v>8920110.8383700009</v>
      </c>
      <c r="CQ14" s="85">
        <v>8914294.9202800002</v>
      </c>
      <c r="CR14" s="85">
        <v>8881844.4199599996</v>
      </c>
      <c r="CS14" s="85">
        <v>9149749.9479200002</v>
      </c>
      <c r="CT14" s="85">
        <v>8867915.7188000008</v>
      </c>
      <c r="CU14" s="85">
        <v>9701755.5800100099</v>
      </c>
      <c r="CV14" s="85">
        <v>9344801.4670600034</v>
      </c>
      <c r="CW14" s="85">
        <v>9227768.0694199987</v>
      </c>
      <c r="CX14" s="85">
        <f>9290987369.65/1000</f>
        <v>9290987.3696499988</v>
      </c>
      <c r="CY14" s="85">
        <f>9580642487.21/1000</f>
        <v>9580642.4872099999</v>
      </c>
      <c r="CZ14" s="85">
        <f>9375217256.63/1000</f>
        <v>9375217.2566299997</v>
      </c>
      <c r="DA14" s="85">
        <f>9418231138.95/1000</f>
        <v>9418231.1389500014</v>
      </c>
      <c r="DB14" s="85">
        <f>9527026931.33/1000</f>
        <v>9527026.9313299991</v>
      </c>
      <c r="DC14" s="85">
        <f>9553334244.76/1000</f>
        <v>9553334.2447600011</v>
      </c>
      <c r="DD14" s="85">
        <f>9646742730.9/1000</f>
        <v>9646742.7308999989</v>
      </c>
      <c r="DE14" s="85">
        <f>9571497721.69/1000</f>
        <v>9571497.721690001</v>
      </c>
      <c r="DF14" s="85">
        <f>9535457982.93/1000</f>
        <v>9535457.9829300009</v>
      </c>
      <c r="DG14" s="85">
        <f>10008179874.4/1000</f>
        <v>10008179.874399999</v>
      </c>
      <c r="DH14" s="85">
        <f>9728958411.79/1000</f>
        <v>9728958.4117900003</v>
      </c>
      <c r="DI14" s="85">
        <f>9909039000.94/1000</f>
        <v>9909039.0009400006</v>
      </c>
      <c r="DJ14" s="85">
        <f>9887262312.03/1000</f>
        <v>9887262.3120300006</v>
      </c>
      <c r="DK14" s="85">
        <f>10385372112.88/1000</f>
        <v>10385372.112879999</v>
      </c>
      <c r="DL14" s="85">
        <f>10100284993.38/1000</f>
        <v>10100284.993379999</v>
      </c>
      <c r="DM14" s="85">
        <f>10016386759.82/1000</f>
        <v>10016386.759819999</v>
      </c>
      <c r="DN14" s="85">
        <f>10056551947.53/1000</f>
        <v>10056551.947530001</v>
      </c>
      <c r="DO14" s="85">
        <f>10157393552.34/1000</f>
        <v>10157393.552340001</v>
      </c>
      <c r="DP14" s="92">
        <f t="shared" si="0"/>
        <v>1.0027453279825904E-2</v>
      </c>
      <c r="DQ14" s="86">
        <f>+DP44</f>
        <v>4.9405621851694725E-3</v>
      </c>
      <c r="DR14" s="92">
        <f t="shared" si="1"/>
        <v>6.3230207601217892E-2</v>
      </c>
      <c r="DS14" s="92">
        <f>+DP53</f>
        <v>6.2421862152823859E-2</v>
      </c>
      <c r="DT14" s="11"/>
      <c r="DU14" s="14"/>
    </row>
    <row r="15" spans="2:125" s="15" customFormat="1" x14ac:dyDescent="0.3">
      <c r="B15" s="129" t="s">
        <v>6</v>
      </c>
      <c r="C15" s="130"/>
      <c r="D15" s="85">
        <f>+D13-D14</f>
        <v>16045585.545729998</v>
      </c>
      <c r="E15" s="85">
        <f t="shared" ref="E15:BP15" si="2">+E13-E14</f>
        <v>16199991.412299998</v>
      </c>
      <c r="F15" s="85">
        <f t="shared" si="2"/>
        <v>16070482.928510003</v>
      </c>
      <c r="G15" s="85">
        <f t="shared" si="2"/>
        <v>15544125.607299995</v>
      </c>
      <c r="H15" s="85">
        <f t="shared" si="2"/>
        <v>16075904.992830001</v>
      </c>
      <c r="I15" s="85">
        <f t="shared" si="2"/>
        <v>16175365.259249996</v>
      </c>
      <c r="J15" s="85">
        <f t="shared" si="2"/>
        <v>16409860.774769999</v>
      </c>
      <c r="K15" s="85">
        <f t="shared" si="2"/>
        <v>16457966.641190002</v>
      </c>
      <c r="L15" s="85">
        <f t="shared" si="2"/>
        <v>16486678.491870001</v>
      </c>
      <c r="M15" s="85">
        <f t="shared" si="2"/>
        <v>16883487.660580002</v>
      </c>
      <c r="N15" s="85">
        <f>+N13-N14</f>
        <v>17462303.435010001</v>
      </c>
      <c r="O15" s="85">
        <f t="shared" si="2"/>
        <v>18214225.948350001</v>
      </c>
      <c r="P15" s="85">
        <f t="shared" si="2"/>
        <v>17796627.401450001</v>
      </c>
      <c r="Q15" s="85">
        <f t="shared" si="2"/>
        <v>17740902.47019</v>
      </c>
      <c r="R15" s="85">
        <f t="shared" si="2"/>
        <v>18171741.059270002</v>
      </c>
      <c r="S15" s="85">
        <f t="shared" si="2"/>
        <v>17637222.221140005</v>
      </c>
      <c r="T15" s="85">
        <f t="shared" si="2"/>
        <v>17892899.269400001</v>
      </c>
      <c r="U15" s="85">
        <f t="shared" si="2"/>
        <v>18260294.192880001</v>
      </c>
      <c r="V15" s="85">
        <f t="shared" si="2"/>
        <v>18697247.105519995</v>
      </c>
      <c r="W15" s="85">
        <f t="shared" si="2"/>
        <v>18899097.454749998</v>
      </c>
      <c r="X15" s="85">
        <f t="shared" si="2"/>
        <v>19243464.958120003</v>
      </c>
      <c r="Y15" s="85">
        <f t="shared" si="2"/>
        <v>19229926.215340003</v>
      </c>
      <c r="Z15" s="85">
        <f t="shared" si="2"/>
        <v>19456148.485720001</v>
      </c>
      <c r="AA15" s="85">
        <f t="shared" si="2"/>
        <v>20110000.544489998</v>
      </c>
      <c r="AB15" s="85">
        <f t="shared" si="2"/>
        <v>19663083.087570004</v>
      </c>
      <c r="AC15" s="85">
        <f t="shared" si="2"/>
        <v>19707181.885810003</v>
      </c>
      <c r="AD15" s="85">
        <f t="shared" si="2"/>
        <v>19841005.546180006</v>
      </c>
      <c r="AE15" s="85">
        <f t="shared" si="2"/>
        <v>18912390.247269996</v>
      </c>
      <c r="AF15" s="85">
        <f t="shared" si="2"/>
        <v>18923217.425639998</v>
      </c>
      <c r="AG15" s="85">
        <f t="shared" si="2"/>
        <v>18752712.890859999</v>
      </c>
      <c r="AH15" s="85">
        <f t="shared" si="2"/>
        <v>18208589.574919991</v>
      </c>
      <c r="AI15" s="85">
        <f t="shared" si="2"/>
        <v>18316223.031050008</v>
      </c>
      <c r="AJ15" s="85">
        <f t="shared" si="2"/>
        <v>17910242</v>
      </c>
      <c r="AK15" s="85">
        <f t="shared" si="2"/>
        <v>17705085.137319997</v>
      </c>
      <c r="AL15" s="85">
        <f t="shared" si="2"/>
        <v>17601875.783199996</v>
      </c>
      <c r="AM15" s="85">
        <f t="shared" si="2"/>
        <v>17525463.38239</v>
      </c>
      <c r="AN15" s="85">
        <f t="shared" si="2"/>
        <v>18021733.05432</v>
      </c>
      <c r="AO15" s="85">
        <f t="shared" si="2"/>
        <v>18501169.335729994</v>
      </c>
      <c r="AP15" s="85">
        <f t="shared" si="2"/>
        <v>19247403.023159999</v>
      </c>
      <c r="AQ15" s="85">
        <f t="shared" si="2"/>
        <v>18624229.948900003</v>
      </c>
      <c r="AR15" s="85">
        <f t="shared" si="2"/>
        <v>18642575.405170001</v>
      </c>
      <c r="AS15" s="85">
        <f t="shared" si="2"/>
        <v>19067514.954750001</v>
      </c>
      <c r="AT15" s="85">
        <f t="shared" si="2"/>
        <v>18646589.7848</v>
      </c>
      <c r="AU15" s="85">
        <f t="shared" si="2"/>
        <v>19242417.440159999</v>
      </c>
      <c r="AV15" s="85">
        <f t="shared" si="2"/>
        <v>19648487.807929989</v>
      </c>
      <c r="AW15" s="85">
        <f t="shared" si="2"/>
        <v>19729186.197000001</v>
      </c>
      <c r="AX15" s="85">
        <f t="shared" si="2"/>
        <v>19953260.21534</v>
      </c>
      <c r="AY15" s="85">
        <f t="shared" si="2"/>
        <v>21001074.818299171</v>
      </c>
      <c r="AZ15" s="85">
        <f t="shared" si="2"/>
        <v>20624098.207630001</v>
      </c>
      <c r="BA15" s="85">
        <f t="shared" si="2"/>
        <v>20786201.337060008</v>
      </c>
      <c r="BB15" s="85">
        <f t="shared" si="2"/>
        <v>21609145.524109993</v>
      </c>
      <c r="BC15" s="85">
        <f t="shared" si="2"/>
        <v>20902968.313849989</v>
      </c>
      <c r="BD15" s="85">
        <f t="shared" si="2"/>
        <v>20720494.108649999</v>
      </c>
      <c r="BE15" s="85">
        <f t="shared" si="2"/>
        <v>21028329.465050001</v>
      </c>
      <c r="BF15" s="85">
        <f t="shared" si="2"/>
        <v>20852778.307720006</v>
      </c>
      <c r="BG15" s="85">
        <f t="shared" si="2"/>
        <v>20731192.512719996</v>
      </c>
      <c r="BH15" s="85">
        <f t="shared" si="2"/>
        <v>20548357.433989994</v>
      </c>
      <c r="BI15" s="85">
        <f t="shared" si="2"/>
        <v>20890578.492899999</v>
      </c>
      <c r="BJ15" s="85">
        <f t="shared" si="2"/>
        <v>21470799.021190003</v>
      </c>
      <c r="BK15" s="85">
        <f t="shared" si="2"/>
        <v>21892304.01348</v>
      </c>
      <c r="BL15" s="85">
        <f t="shared" si="2"/>
        <v>21730536.990769997</v>
      </c>
      <c r="BM15" s="85">
        <f t="shared" si="2"/>
        <v>21940108.634259999</v>
      </c>
      <c r="BN15" s="85">
        <f t="shared" si="2"/>
        <v>22329299.388180383</v>
      </c>
      <c r="BO15" s="85">
        <f t="shared" si="2"/>
        <v>21516058.443429999</v>
      </c>
      <c r="BP15" s="85">
        <f t="shared" si="2"/>
        <v>21633467.014279995</v>
      </c>
      <c r="BQ15" s="85">
        <f t="shared" ref="BQ15:CQ15" si="3">+BQ13-BQ14</f>
        <v>21678752.180749994</v>
      </c>
      <c r="BR15" s="85">
        <f t="shared" si="3"/>
        <v>21881441.242400005</v>
      </c>
      <c r="BS15" s="85">
        <f t="shared" si="3"/>
        <v>21934466.854900002</v>
      </c>
      <c r="BT15" s="85">
        <f t="shared" si="3"/>
        <v>21742003.897880003</v>
      </c>
      <c r="BU15" s="85">
        <f t="shared" si="3"/>
        <v>21726548.632649999</v>
      </c>
      <c r="BV15" s="85">
        <f t="shared" si="3"/>
        <v>22153449.124900006</v>
      </c>
      <c r="BW15" s="85">
        <f t="shared" si="3"/>
        <v>22252197.654710002</v>
      </c>
      <c r="BX15" s="85">
        <f t="shared" si="3"/>
        <v>22275067.171560008</v>
      </c>
      <c r="BY15" s="85">
        <f t="shared" si="3"/>
        <v>22686220.599822782</v>
      </c>
      <c r="BZ15" s="85">
        <f t="shared" si="3"/>
        <v>22925265.215441339</v>
      </c>
      <c r="CA15" s="85">
        <f t="shared" si="3"/>
        <v>22863593.16691</v>
      </c>
      <c r="CB15" s="85">
        <f t="shared" si="3"/>
        <v>22725618.362270001</v>
      </c>
      <c r="CC15" s="85">
        <f t="shared" si="3"/>
        <v>22935511.95589</v>
      </c>
      <c r="CD15" s="85">
        <f t="shared" si="3"/>
        <v>23302296.250050001</v>
      </c>
      <c r="CE15" s="85">
        <f t="shared" si="3"/>
        <v>23384788.790720001</v>
      </c>
      <c r="CF15" s="85">
        <f t="shared" si="3"/>
        <v>23643299.089189999</v>
      </c>
      <c r="CG15" s="85">
        <f t="shared" si="3"/>
        <v>23556693.535640001</v>
      </c>
      <c r="CH15" s="85">
        <f t="shared" si="3"/>
        <v>23711138.706419993</v>
      </c>
      <c r="CI15" s="85">
        <f t="shared" si="3"/>
        <v>24765196.947409999</v>
      </c>
      <c r="CJ15" s="85">
        <f t="shared" si="3"/>
        <v>24766924.469209999</v>
      </c>
      <c r="CK15" s="85">
        <f t="shared" si="3"/>
        <v>25181054.696169995</v>
      </c>
      <c r="CL15" s="85">
        <f t="shared" si="3"/>
        <v>24585641.83619</v>
      </c>
      <c r="CM15" s="85">
        <f t="shared" si="3"/>
        <v>23971685.832380001</v>
      </c>
      <c r="CN15" s="85">
        <f t="shared" si="3"/>
        <v>24213110.633709997</v>
      </c>
      <c r="CO15" s="85">
        <f t="shared" si="3"/>
        <v>24672323.426929999</v>
      </c>
      <c r="CP15" s="85">
        <f t="shared" si="3"/>
        <v>24971056.941360004</v>
      </c>
      <c r="CQ15" s="85">
        <f t="shared" si="3"/>
        <v>25312251.974429995</v>
      </c>
      <c r="CR15" s="85">
        <f>+CR13-CR14</f>
        <v>25803926.794979997</v>
      </c>
      <c r="CS15" s="85">
        <f>+CS13-CS14</f>
        <v>26551765.5854</v>
      </c>
      <c r="CT15" s="85">
        <f>+CT13-CT14</f>
        <v>26778803.476669997</v>
      </c>
      <c r="CU15" s="85">
        <f>+CU13-CU14</f>
        <v>27842906.663839988</v>
      </c>
      <c r="CV15" s="85">
        <f t="shared" ref="CV15:DI15" si="4">+CV13-CV14</f>
        <v>27738575.389620002</v>
      </c>
      <c r="CW15" s="85">
        <f t="shared" si="4"/>
        <v>27741797.621389996</v>
      </c>
      <c r="CX15" s="85">
        <f t="shared" si="4"/>
        <v>28444604.420290001</v>
      </c>
      <c r="CY15" s="85">
        <f t="shared" si="4"/>
        <v>27890245.158679999</v>
      </c>
      <c r="CZ15" s="85">
        <f t="shared" si="4"/>
        <v>28305970.355840001</v>
      </c>
      <c r="DA15" s="85">
        <f t="shared" si="4"/>
        <v>28551095.92106</v>
      </c>
      <c r="DB15" s="85">
        <f t="shared" si="4"/>
        <v>28715069.00234</v>
      </c>
      <c r="DC15" s="85">
        <f t="shared" si="4"/>
        <v>28989682.086920001</v>
      </c>
      <c r="DD15" s="85">
        <f t="shared" si="4"/>
        <v>29346701.846019998</v>
      </c>
      <c r="DE15" s="85">
        <f t="shared" si="4"/>
        <v>29727399.315370001</v>
      </c>
      <c r="DF15" s="85">
        <f t="shared" si="4"/>
        <v>30047675.19475</v>
      </c>
      <c r="DG15" s="85">
        <f t="shared" si="4"/>
        <v>31150217.143530004</v>
      </c>
      <c r="DH15" s="85">
        <f t="shared" si="4"/>
        <v>30683905.597489998</v>
      </c>
      <c r="DI15" s="85">
        <f t="shared" si="4"/>
        <v>31112977.909249999</v>
      </c>
      <c r="DJ15" s="85">
        <f>+DJ13-DJ14</f>
        <v>31801647.360799998</v>
      </c>
      <c r="DK15" s="85">
        <f>+DK13-DK14</f>
        <v>30641970.936080001</v>
      </c>
      <c r="DL15" s="85">
        <f>+DL13-DL14</f>
        <v>30850604.170170005</v>
      </c>
      <c r="DM15" s="85">
        <f>+DM13-DM14</f>
        <v>30863991.512960002</v>
      </c>
      <c r="DN15" s="85">
        <f>+DN13-DN14</f>
        <v>30909702.217059992</v>
      </c>
      <c r="DO15" s="85">
        <f>+DO13-DO14</f>
        <v>31508495.23071</v>
      </c>
      <c r="DP15" s="92">
        <f t="shared" si="0"/>
        <v>1.9372332009058191E-2</v>
      </c>
      <c r="DQ15" s="86">
        <f>+DP45</f>
        <v>7.1667252409788329E-3</v>
      </c>
      <c r="DR15" s="92">
        <f t="shared" si="1"/>
        <v>8.6886539018876441E-2</v>
      </c>
      <c r="DS15" s="92">
        <f t="shared" ref="DS15:DS16" si="5">+DP54</f>
        <v>6.3997283827866402E-2</v>
      </c>
      <c r="DT15" s="11"/>
      <c r="DU15" s="14"/>
    </row>
    <row r="16" spans="2:125" s="15" customFormat="1" x14ac:dyDescent="0.3">
      <c r="B16" s="128" t="s">
        <v>41</v>
      </c>
      <c r="C16" s="128"/>
      <c r="D16" s="18">
        <v>9810215.8533399999</v>
      </c>
      <c r="E16" s="18">
        <v>9841726.9826599993</v>
      </c>
      <c r="F16" s="18">
        <v>9934128.9875499997</v>
      </c>
      <c r="G16" s="18">
        <v>10189780.604489999</v>
      </c>
      <c r="H16" s="18">
        <v>10289470.555080002</v>
      </c>
      <c r="I16" s="18">
        <v>10343628.035190001</v>
      </c>
      <c r="J16" s="18">
        <v>10320207.336239999</v>
      </c>
      <c r="K16" s="18">
        <v>10499430.99003</v>
      </c>
      <c r="L16" s="18">
        <v>10388827.61527</v>
      </c>
      <c r="M16" s="18">
        <v>10475877.92939</v>
      </c>
      <c r="N16" s="18">
        <v>10631600.225020001</v>
      </c>
      <c r="O16" s="18">
        <v>11271988.011770001</v>
      </c>
      <c r="P16" s="18">
        <v>11096539.93469</v>
      </c>
      <c r="Q16" s="18">
        <v>11146220.036320001</v>
      </c>
      <c r="R16" s="18">
        <v>11194977.31958</v>
      </c>
      <c r="S16" s="18">
        <v>11725398.516760001</v>
      </c>
      <c r="T16" s="18">
        <v>11642172.851469999</v>
      </c>
      <c r="U16" s="18">
        <v>11586406.390140001</v>
      </c>
      <c r="V16" s="18">
        <v>11603063.708139999</v>
      </c>
      <c r="W16" s="18">
        <v>11775296.938469999</v>
      </c>
      <c r="X16" s="18">
        <v>11607295.87126</v>
      </c>
      <c r="Y16" s="18">
        <v>11707876.580459999</v>
      </c>
      <c r="Z16" s="18">
        <v>11759992.052920001</v>
      </c>
      <c r="AA16" s="18">
        <v>12373372.84283</v>
      </c>
      <c r="AB16" s="18">
        <v>12019318.751430001</v>
      </c>
      <c r="AC16" s="18">
        <v>11991853.18207</v>
      </c>
      <c r="AD16" s="18">
        <v>11931526.555900002</v>
      </c>
      <c r="AE16" s="18">
        <v>12147633.238670001</v>
      </c>
      <c r="AF16" s="18">
        <v>12017325.76416</v>
      </c>
      <c r="AG16" s="18">
        <v>11817009.675319998</v>
      </c>
      <c r="AH16" s="18">
        <v>11353985.042459995</v>
      </c>
      <c r="AI16" s="18">
        <v>11561788.240250001</v>
      </c>
      <c r="AJ16" s="18">
        <v>11448304</v>
      </c>
      <c r="AK16" s="18">
        <v>11311809.838409999</v>
      </c>
      <c r="AL16" s="18">
        <v>11181923.81742</v>
      </c>
      <c r="AM16" s="18">
        <v>11475233.776010001</v>
      </c>
      <c r="AN16" s="18">
        <v>11240568.488770001</v>
      </c>
      <c r="AO16" s="18">
        <v>11134601.415980004</v>
      </c>
      <c r="AP16" s="18">
        <v>11114297.409120001</v>
      </c>
      <c r="AQ16" s="18">
        <v>11416895.415400002</v>
      </c>
      <c r="AR16" s="18">
        <v>11140470.965570001</v>
      </c>
      <c r="AS16" s="18">
        <v>11268523.394549999</v>
      </c>
      <c r="AT16" s="18">
        <v>10892224.84661</v>
      </c>
      <c r="AU16" s="18">
        <v>10890868.83684</v>
      </c>
      <c r="AV16" s="18">
        <v>11004703.796569996</v>
      </c>
      <c r="AW16" s="18">
        <v>11071942.475500001</v>
      </c>
      <c r="AX16" s="18">
        <v>11091014.667570001</v>
      </c>
      <c r="AY16" s="18">
        <v>11717110.824830029</v>
      </c>
      <c r="AZ16" s="18">
        <v>11351015.64129</v>
      </c>
      <c r="BA16" s="18">
        <v>11556131.80797</v>
      </c>
      <c r="BB16" s="18">
        <v>11543965.3496</v>
      </c>
      <c r="BC16" s="18">
        <v>11842861.629259996</v>
      </c>
      <c r="BD16" s="18">
        <v>11567540.70958</v>
      </c>
      <c r="BE16" s="18">
        <v>11642129.818310004</v>
      </c>
      <c r="BF16" s="18">
        <v>11511011.860250013</v>
      </c>
      <c r="BG16" s="18">
        <v>11601204.926479997</v>
      </c>
      <c r="BH16" s="18">
        <v>11580164.045660004</v>
      </c>
      <c r="BI16" s="18">
        <v>11465112.84794</v>
      </c>
      <c r="BJ16" s="18">
        <v>11480697.90949</v>
      </c>
      <c r="BK16" s="18">
        <v>12169812.69829</v>
      </c>
      <c r="BL16" s="18">
        <v>11815530.137209998</v>
      </c>
      <c r="BM16" s="18">
        <v>11821606.715949999</v>
      </c>
      <c r="BN16" s="18">
        <v>11957701.754559977</v>
      </c>
      <c r="BO16" s="18">
        <v>12406455.878489995</v>
      </c>
      <c r="BP16" s="18">
        <v>12156704.340540003</v>
      </c>
      <c r="BQ16" s="18">
        <v>12192658.203639999</v>
      </c>
      <c r="BR16" s="18">
        <f>12039820989.98/1000</f>
        <v>12039820.989979999</v>
      </c>
      <c r="BS16" s="18">
        <v>12045915.678750001</v>
      </c>
      <c r="BT16" s="18">
        <v>12030606.689440001</v>
      </c>
      <c r="BU16" s="18">
        <v>11908475.56497</v>
      </c>
      <c r="BV16" s="18">
        <v>11857647.068560001</v>
      </c>
      <c r="BW16" s="18">
        <v>12494824.809359999</v>
      </c>
      <c r="BX16" s="18">
        <v>12149867.37029</v>
      </c>
      <c r="BY16" s="18">
        <v>12109131.816897228</v>
      </c>
      <c r="BZ16" s="18">
        <v>12055220.330258699</v>
      </c>
      <c r="CA16" s="18">
        <v>12406600.457180001</v>
      </c>
      <c r="CB16" s="18">
        <v>12337594.80621</v>
      </c>
      <c r="CC16" s="18">
        <v>12267976.15834</v>
      </c>
      <c r="CD16" s="18">
        <v>12263708.41224</v>
      </c>
      <c r="CE16" s="18">
        <v>12287788.748780001</v>
      </c>
      <c r="CF16" s="18">
        <v>11955889.541370001</v>
      </c>
      <c r="CG16" s="18">
        <v>12076123.844639998</v>
      </c>
      <c r="CH16" s="18">
        <v>12095118.884820001</v>
      </c>
      <c r="CI16" s="18">
        <v>12693557.168740001</v>
      </c>
      <c r="CJ16" s="18">
        <v>12466721.74941</v>
      </c>
      <c r="CK16" s="18">
        <v>12499700.498679999</v>
      </c>
      <c r="CL16" s="18">
        <v>12348959.08305</v>
      </c>
      <c r="CM16" s="18">
        <v>12835569.53764</v>
      </c>
      <c r="CN16" s="18">
        <v>12838101.6438</v>
      </c>
      <c r="CO16" s="18">
        <v>12755684.01633</v>
      </c>
      <c r="CP16" s="18">
        <v>12770552.62892</v>
      </c>
      <c r="CQ16" s="18">
        <v>12785874.74251</v>
      </c>
      <c r="CR16" s="18">
        <v>12811017.13731</v>
      </c>
      <c r="CS16" s="18">
        <v>13157749.94792</v>
      </c>
      <c r="CT16" s="18">
        <v>12900170.635980001</v>
      </c>
      <c r="CU16" s="18">
        <v>13892356.602910001</v>
      </c>
      <c r="CV16" s="18">
        <v>13471519.282380005</v>
      </c>
      <c r="CW16" s="18">
        <v>13345807.94675</v>
      </c>
      <c r="CX16" s="18">
        <f>13408459369.65/1000</f>
        <v>13408459.369649999</v>
      </c>
      <c r="CY16" s="18">
        <f>13716714647.91/1000</f>
        <v>13716714.647910001</v>
      </c>
      <c r="CZ16" s="18">
        <f>13577489109.52/1000</f>
        <v>13577489.109520001</v>
      </c>
      <c r="DA16" s="18">
        <f>13634489928.31/1000</f>
        <v>13634489.928309999</v>
      </c>
      <c r="DB16" s="18">
        <f>13778002931.33/1000</f>
        <v>13778002.931329999</v>
      </c>
      <c r="DC16" s="18">
        <f>13803351009.25/1000</f>
        <v>13803351.00925</v>
      </c>
      <c r="DD16" s="18">
        <f>13936581956.24/1000</f>
        <v>13936581.95624</v>
      </c>
      <c r="DE16" s="18">
        <f>13823254414.62/1000</f>
        <v>13823254.414620001</v>
      </c>
      <c r="DF16" s="18">
        <f>13806948779.32/1000</f>
        <v>13806948.77932</v>
      </c>
      <c r="DG16" s="18">
        <f>14383570261.22/1000</f>
        <v>14383570.261219999</v>
      </c>
      <c r="DH16" s="18">
        <f>14053599538.45/1000</f>
        <v>14053599.538450001</v>
      </c>
      <c r="DI16" s="18">
        <f>14252921219.57/1000</f>
        <v>14252921.21957</v>
      </c>
      <c r="DJ16" s="18">
        <f>14247343042/1000</f>
        <v>14247343.041999999</v>
      </c>
      <c r="DK16" s="18">
        <f>14799292112.88/1000</f>
        <v>14799292.112879999</v>
      </c>
      <c r="DL16" s="18">
        <f>14507697071.88/1000</f>
        <v>14507697.07188</v>
      </c>
      <c r="DM16" s="18">
        <f>14424703676.25/1000</f>
        <v>14424703.67625</v>
      </c>
      <c r="DN16" s="18">
        <f>14483620360.74/1000</f>
        <v>14483620.36074</v>
      </c>
      <c r="DO16" s="18">
        <f>14614478806.51/1000</f>
        <v>14614478.80651</v>
      </c>
      <c r="DP16" s="92">
        <f t="shared" si="0"/>
        <v>9.0349265246354449E-3</v>
      </c>
      <c r="DQ16" s="92">
        <f>+DP43</f>
        <v>4.5440937200365017E-3</v>
      </c>
      <c r="DR16" s="92">
        <f t="shared" si="1"/>
        <v>5.8763107358237976E-2</v>
      </c>
      <c r="DS16" s="92">
        <f t="shared" si="5"/>
        <v>0.10916450983018233</v>
      </c>
      <c r="DT16" s="11"/>
      <c r="DU16" s="14"/>
    </row>
    <row r="17" spans="2:125" s="15" customFormat="1" x14ac:dyDescent="0.3">
      <c r="B17" s="29" t="s">
        <v>1</v>
      </c>
      <c r="C17" s="30"/>
      <c r="D17" s="86">
        <f t="shared" ref="D17:AR17" si="6">+D$11/D16</f>
        <v>6.4873943904437237E-2</v>
      </c>
      <c r="E17" s="86">
        <f t="shared" si="6"/>
        <v>6.6191377258052228E-2</v>
      </c>
      <c r="F17" s="86">
        <f t="shared" si="6"/>
        <v>6.7023883486357724E-2</v>
      </c>
      <c r="G17" s="86">
        <f>+G$11/G16</f>
        <v>6.6802603624268056E-2</v>
      </c>
      <c r="H17" s="86">
        <f>+H$11/H16</f>
        <v>6.7561073430234916E-2</v>
      </c>
      <c r="I17" s="86">
        <f t="shared" si="6"/>
        <v>6.8621812996870951E-2</v>
      </c>
      <c r="J17" s="86">
        <f t="shared" si="6"/>
        <v>6.3586571619120749E-2</v>
      </c>
      <c r="K17" s="86">
        <f t="shared" si="6"/>
        <v>6.3751078067525599E-2</v>
      </c>
      <c r="L17" s="86">
        <f t="shared" si="6"/>
        <v>6.57001858108376E-2</v>
      </c>
      <c r="M17" s="86">
        <f t="shared" si="6"/>
        <v>6.6425311744780835E-2</v>
      </c>
      <c r="N17" s="86">
        <f t="shared" si="6"/>
        <v>6.6713639332564884E-2</v>
      </c>
      <c r="O17" s="86">
        <f t="shared" si="6"/>
        <v>6.398939931331056E-2</v>
      </c>
      <c r="P17" s="86">
        <f t="shared" si="6"/>
        <v>6.6387148408039318E-2</v>
      </c>
      <c r="Q17" s="86">
        <f t="shared" si="6"/>
        <v>6.7562845311335801E-2</v>
      </c>
      <c r="R17" s="86">
        <f t="shared" si="6"/>
        <v>6.8597399035982221E-2</v>
      </c>
      <c r="S17" s="86">
        <f t="shared" si="6"/>
        <v>6.6809378459100968E-2</v>
      </c>
      <c r="T17" s="86">
        <f t="shared" si="6"/>
        <v>6.8456728006694084E-2</v>
      </c>
      <c r="U17" s="86">
        <f t="shared" si="6"/>
        <v>6.8908827073374618E-2</v>
      </c>
      <c r="V17" s="86">
        <f t="shared" si="6"/>
        <v>6.8938546888167154E-2</v>
      </c>
      <c r="W17" s="86">
        <f t="shared" si="6"/>
        <v>7.146130529421163E-2</v>
      </c>
      <c r="X17" s="86">
        <f t="shared" si="6"/>
        <v>7.2612343667130846E-2</v>
      </c>
      <c r="Y17" s="86">
        <f t="shared" si="6"/>
        <v>7.4439285850906881E-2</v>
      </c>
      <c r="Z17" s="86">
        <f t="shared" si="6"/>
        <v>7.5403318557500404E-2</v>
      </c>
      <c r="AA17" s="86">
        <f t="shared" si="6"/>
        <v>7.2928907788703728E-2</v>
      </c>
      <c r="AB17" s="86">
        <f t="shared" si="6"/>
        <v>7.6414705787774109E-2</v>
      </c>
      <c r="AC17" s="86">
        <f t="shared" si="6"/>
        <v>7.6718784737589002E-2</v>
      </c>
      <c r="AD17" s="86">
        <f t="shared" si="6"/>
        <v>7.965261244128477E-2</v>
      </c>
      <c r="AE17" s="86">
        <f t="shared" si="6"/>
        <v>7.9590461597262976E-2</v>
      </c>
      <c r="AF17" s="86">
        <f t="shared" si="6"/>
        <v>8.1787082287579235E-2</v>
      </c>
      <c r="AG17" s="86">
        <f t="shared" si="6"/>
        <v>8.4494401290482316E-2</v>
      </c>
      <c r="AH17" s="86">
        <f t="shared" si="6"/>
        <v>8.9309328446173425E-2</v>
      </c>
      <c r="AI17" s="86">
        <f t="shared" si="6"/>
        <v>8.9036499665015562E-2</v>
      </c>
      <c r="AJ17" s="86">
        <f t="shared" si="6"/>
        <v>9.1220193333440489E-2</v>
      </c>
      <c r="AK17" s="86">
        <f t="shared" si="6"/>
        <v>9.3657186897946915E-2</v>
      </c>
      <c r="AL17" s="86">
        <f t="shared" si="6"/>
        <v>9.6068350028148938E-2</v>
      </c>
      <c r="AM17" s="86">
        <f t="shared" si="6"/>
        <v>9.4912851271662921E-2</v>
      </c>
      <c r="AN17" s="86">
        <f t="shared" si="6"/>
        <v>9.8210824802402785E-2</v>
      </c>
      <c r="AO17" s="86">
        <f t="shared" si="6"/>
        <v>0.10048254130446813</v>
      </c>
      <c r="AP17" s="86">
        <f t="shared" si="6"/>
        <v>0.10202814348386099</v>
      </c>
      <c r="AQ17" s="86">
        <f t="shared" si="6"/>
        <v>0.10063304620275762</v>
      </c>
      <c r="AR17" s="86">
        <f t="shared" si="6"/>
        <v>0.10451261669711893</v>
      </c>
      <c r="AS17" s="86">
        <f>+AS$11/AS16</f>
        <v>0.10466641875903919</v>
      </c>
      <c r="AT17" s="86">
        <f t="shared" ref="AT17:BV17" si="7">+AT$11/AT16</f>
        <v>0.10967500563595126</v>
      </c>
      <c r="AU17" s="86">
        <f t="shared" si="7"/>
        <v>0.10830349527212184</v>
      </c>
      <c r="AV17" s="86">
        <f t="shared" si="7"/>
        <v>0.10852299118057446</v>
      </c>
      <c r="AW17" s="86">
        <f t="shared" si="7"/>
        <v>0.10923180700371043</v>
      </c>
      <c r="AX17" s="86">
        <f t="shared" si="7"/>
        <v>0.11044987295904399</v>
      </c>
      <c r="AY17" s="86">
        <f t="shared" si="7"/>
        <v>0.10544663966493829</v>
      </c>
      <c r="AZ17" s="86">
        <f t="shared" si="7"/>
        <v>0.10685935584634182</v>
      </c>
      <c r="BA17" s="86">
        <f t="shared" si="7"/>
        <v>0.10635903155001386</v>
      </c>
      <c r="BB17" s="86">
        <f t="shared" si="7"/>
        <v>0.10786266084843585</v>
      </c>
      <c r="BC17" s="86">
        <f t="shared" si="7"/>
        <v>0.10647471133028781</v>
      </c>
      <c r="BD17" s="86">
        <f t="shared" si="7"/>
        <v>0.11050760040907719</v>
      </c>
      <c r="BE17" s="86">
        <f t="shared" si="7"/>
        <v>0.11117900236727407</v>
      </c>
      <c r="BF17" s="86">
        <f t="shared" si="7"/>
        <v>0.11386723198298675</v>
      </c>
      <c r="BG17" s="86">
        <f t="shared" si="7"/>
        <v>0.11440602908845517</v>
      </c>
      <c r="BH17" s="86">
        <f t="shared" si="7"/>
        <v>0.11587217519797438</v>
      </c>
      <c r="BI17" s="86">
        <f t="shared" si="7"/>
        <v>0.11857699774793483</v>
      </c>
      <c r="BJ17" s="86">
        <f t="shared" si="7"/>
        <v>0.11981892544380236</v>
      </c>
      <c r="BK17" s="86">
        <f t="shared" si="7"/>
        <v>0.11437986273162525</v>
      </c>
      <c r="BL17" s="86">
        <f t="shared" si="7"/>
        <v>0.11908570383641282</v>
      </c>
      <c r="BM17" s="86">
        <f t="shared" si="7"/>
        <v>0.11902449103653223</v>
      </c>
      <c r="BN17" s="86">
        <f t="shared" si="7"/>
        <v>0.1202090083206708</v>
      </c>
      <c r="BO17" s="86">
        <f t="shared" si="7"/>
        <v>0.11710638631125581</v>
      </c>
      <c r="BP17" s="86">
        <f t="shared" si="7"/>
        <v>0.12078574908195681</v>
      </c>
      <c r="BQ17" s="86">
        <f t="shared" si="7"/>
        <v>0.1216765468252934</v>
      </c>
      <c r="BR17" s="86">
        <f t="shared" si="7"/>
        <v>0.1244819974912675</v>
      </c>
      <c r="BS17" s="86">
        <f t="shared" si="7"/>
        <v>0.12568480747717686</v>
      </c>
      <c r="BT17" s="86">
        <f t="shared" si="7"/>
        <v>0.12711816968070014</v>
      </c>
      <c r="BU17" s="86">
        <f t="shared" si="7"/>
        <v>0.12971122845511682</v>
      </c>
      <c r="BV17" s="86">
        <f t="shared" si="7"/>
        <v>0.13026724320844413</v>
      </c>
      <c r="BW17" s="86">
        <f>+BW$11/BW16</f>
        <v>0.12809404068243035</v>
      </c>
      <c r="BX17" s="86">
        <f t="shared" ref="BX17:CI17" si="8">+BX$11/BX16</f>
        <v>0.13300803366065284</v>
      </c>
      <c r="BY17" s="86">
        <f t="shared" si="8"/>
        <v>0.13473314679450291</v>
      </c>
      <c r="BZ17" s="86">
        <f t="shared" si="8"/>
        <v>0.13662053933481749</v>
      </c>
      <c r="CA17" s="86">
        <f t="shared" si="8"/>
        <v>0.13402179650491797</v>
      </c>
      <c r="CB17" s="86">
        <f t="shared" si="8"/>
        <v>0.13606659032642462</v>
      </c>
      <c r="CC17" s="86">
        <f t="shared" si="8"/>
        <v>0.13813310372045107</v>
      </c>
      <c r="CD17" s="86">
        <f t="shared" si="8"/>
        <v>0.13947990673871255</v>
      </c>
      <c r="CE17" s="86">
        <f t="shared" si="8"/>
        <v>0.14050444800423634</v>
      </c>
      <c r="CF17" s="86">
        <f t="shared" si="8"/>
        <v>0.1457591173237211</v>
      </c>
      <c r="CG17" s="86">
        <f t="shared" si="8"/>
        <v>0.14564467028388881</v>
      </c>
      <c r="CH17" s="86">
        <f t="shared" si="8"/>
        <v>0.14674889402349306</v>
      </c>
      <c r="CI17" s="86">
        <f t="shared" si="8"/>
        <v>0.14392643059339902</v>
      </c>
      <c r="CJ17" s="86">
        <f>+CJ$11/CJ16</f>
        <v>0.14654521144794636</v>
      </c>
      <c r="CK17" s="86">
        <f t="shared" ref="CK17:DL17" si="9">+CK$11/CK16</f>
        <v>0.14883702214996791</v>
      </c>
      <c r="CL17" s="86">
        <f t="shared" si="9"/>
        <v>0.15202393756302957</v>
      </c>
      <c r="CM17" s="86">
        <f t="shared" si="9"/>
        <v>0.14626054411568987</v>
      </c>
      <c r="CN17" s="86">
        <f t="shared" si="9"/>
        <v>0.14623169628639265</v>
      </c>
      <c r="CO17" s="86">
        <f t="shared" si="9"/>
        <v>0.14717699201051074</v>
      </c>
      <c r="CP17" s="86">
        <f t="shared" si="9"/>
        <v>0.15226918289474609</v>
      </c>
      <c r="CQ17" s="86">
        <f t="shared" si="9"/>
        <v>0.15341519315986415</v>
      </c>
      <c r="CR17" s="86">
        <f t="shared" si="9"/>
        <v>0.15444915081016497</v>
      </c>
      <c r="CS17" s="86">
        <f t="shared" si="9"/>
        <v>0.15169941760259206</v>
      </c>
      <c r="CT17" s="86">
        <f t="shared" si="9"/>
        <v>0.15610077775277592</v>
      </c>
      <c r="CU17" s="86">
        <f t="shared" si="9"/>
        <v>0.14941646290199589</v>
      </c>
      <c r="CV17" s="86">
        <f t="shared" si="9"/>
        <v>0.1540840896612872</v>
      </c>
      <c r="CW17" s="86">
        <f t="shared" si="9"/>
        <v>0.15553549048976764</v>
      </c>
      <c r="CX17" s="86">
        <f t="shared" si="9"/>
        <v>0.15480874631118663</v>
      </c>
      <c r="CY17" s="86">
        <f t="shared" si="9"/>
        <v>0.1553869037411782</v>
      </c>
      <c r="CZ17" s="86">
        <f t="shared" si="9"/>
        <v>0.15973553357146994</v>
      </c>
      <c r="DA17" s="86">
        <f t="shared" si="9"/>
        <v>0.16045356666240659</v>
      </c>
      <c r="DB17" s="86">
        <f t="shared" si="9"/>
        <v>0.15879258326001869</v>
      </c>
      <c r="DC17" s="86">
        <f t="shared" si="9"/>
        <v>0.16125907210997922</v>
      </c>
      <c r="DD17" s="86">
        <f t="shared" si="9"/>
        <v>0.16109364512327756</v>
      </c>
      <c r="DE17" s="86">
        <f t="shared" si="9"/>
        <v>0.16241434329064378</v>
      </c>
      <c r="DF17" s="86">
        <f t="shared" si="9"/>
        <v>0.16544729360852342</v>
      </c>
      <c r="DG17" s="86">
        <f t="shared" si="9"/>
        <v>0.16355569282980389</v>
      </c>
      <c r="DH17" s="86">
        <f t="shared" si="9"/>
        <v>0.16884043743868501</v>
      </c>
      <c r="DI17" s="86">
        <f t="shared" si="9"/>
        <v>0.16791446226292994</v>
      </c>
      <c r="DJ17" s="86">
        <f t="shared" si="9"/>
        <v>0.16942736123458607</v>
      </c>
      <c r="DK17" s="86">
        <f t="shared" si="9"/>
        <v>0.1644909769840516</v>
      </c>
      <c r="DL17" s="86">
        <f t="shared" si="9"/>
        <v>0.16839218052293004</v>
      </c>
      <c r="DM17" s="86">
        <f>+DM$11/DM16</f>
        <v>0.17160579658808781</v>
      </c>
      <c r="DN17" s="86">
        <f>+DN$11/DN16</f>
        <v>0.17234011307118163</v>
      </c>
      <c r="DO17" s="86">
        <f>+DO$11/DO16</f>
        <v>0.17220253908329333</v>
      </c>
      <c r="DP17" s="131"/>
      <c r="DQ17" s="131"/>
      <c r="DR17" s="131"/>
      <c r="DS17" s="131"/>
      <c r="DT17" s="33"/>
      <c r="DU17" s="11"/>
    </row>
    <row r="18" spans="2:125" s="20" customFormat="1" ht="13.5" customHeight="1" x14ac:dyDescent="0.3">
      <c r="B18" s="32"/>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93"/>
      <c r="DB18" s="93"/>
      <c r="DC18" s="132"/>
      <c r="DD18" s="132"/>
      <c r="DE18" s="132"/>
      <c r="DF18" s="93"/>
      <c r="DG18" s="93"/>
      <c r="DH18" s="132"/>
      <c r="DI18" s="93"/>
      <c r="DJ18" s="93"/>
      <c r="DK18" s="93"/>
      <c r="DL18" s="93"/>
      <c r="DM18" s="93"/>
      <c r="DN18" s="93"/>
      <c r="DO18" s="93"/>
      <c r="DP18" s="22"/>
      <c r="DQ18" s="22"/>
      <c r="DR18" s="22"/>
      <c r="DS18" s="22"/>
      <c r="DT18" s="33"/>
      <c r="DU18" s="11"/>
    </row>
    <row r="19" spans="2:125" s="15" customFormat="1" ht="16.2" x14ac:dyDescent="0.3">
      <c r="B19" s="128" t="s">
        <v>26</v>
      </c>
      <c r="C19" s="128"/>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8">
        <v>11846946</v>
      </c>
      <c r="CV19" s="18">
        <v>11858469</v>
      </c>
      <c r="CW19" s="18">
        <v>11850349</v>
      </c>
      <c r="CX19" s="18">
        <v>11915431</v>
      </c>
      <c r="CY19" s="18">
        <v>12022976</v>
      </c>
      <c r="CZ19" s="18">
        <v>12137196</v>
      </c>
      <c r="DA19" s="18">
        <v>12249198</v>
      </c>
      <c r="DB19" s="18">
        <v>12377370</v>
      </c>
      <c r="DC19" s="18">
        <v>12499972</v>
      </c>
      <c r="DD19" s="18">
        <v>12531710</v>
      </c>
      <c r="DE19" s="18">
        <v>12659947</v>
      </c>
      <c r="DF19" s="18">
        <v>12710528</v>
      </c>
      <c r="DG19" s="18">
        <v>12887280</v>
      </c>
      <c r="DH19" s="18">
        <v>12781080</v>
      </c>
      <c r="DI19" s="18">
        <v>12788262</v>
      </c>
      <c r="DJ19" s="18">
        <v>12862956</v>
      </c>
      <c r="DK19" s="18">
        <v>12985079</v>
      </c>
      <c r="DL19" s="18">
        <v>13078844</v>
      </c>
      <c r="DM19" s="18">
        <v>13117532</v>
      </c>
      <c r="DN19" s="18">
        <v>13255566</v>
      </c>
      <c r="DO19" s="18">
        <v>13376689</v>
      </c>
      <c r="DP19" s="92">
        <f t="shared" si="0"/>
        <v>9.1375200425241054E-3</v>
      </c>
      <c r="DQ19" s="92">
        <f>+DP46</f>
        <v>5.9904684354730175E-3</v>
      </c>
      <c r="DR19" s="92">
        <f t="shared" si="1"/>
        <v>7.0137517108038283E-2</v>
      </c>
      <c r="DS19" s="92">
        <f>+DP56</f>
        <v>8.0973665958841812E-2</v>
      </c>
    </row>
    <row r="20" spans="2:125" s="20" customFormat="1" ht="15" customHeight="1" x14ac:dyDescent="0.3">
      <c r="B20" s="133" t="s">
        <v>2</v>
      </c>
      <c r="C20" s="133"/>
      <c r="D20" s="34">
        <v>7553822</v>
      </c>
      <c r="E20" s="34">
        <v>7585814</v>
      </c>
      <c r="F20" s="34">
        <v>7559917</v>
      </c>
      <c r="G20" s="34">
        <v>7560278</v>
      </c>
      <c r="H20" s="34">
        <v>7711096</v>
      </c>
      <c r="I20" s="34">
        <v>7755788</v>
      </c>
      <c r="J20" s="34">
        <v>7826279</v>
      </c>
      <c r="K20" s="34">
        <v>7897764</v>
      </c>
      <c r="L20" s="34">
        <v>7949129</v>
      </c>
      <c r="M20" s="34">
        <v>8038484</v>
      </c>
      <c r="N20" s="34">
        <v>8093711</v>
      </c>
      <c r="O20" s="34">
        <v>8080074</v>
      </c>
      <c r="P20" s="34">
        <v>8085774</v>
      </c>
      <c r="Q20" s="34">
        <v>8126066</v>
      </c>
      <c r="R20" s="34">
        <v>8278061</v>
      </c>
      <c r="S20" s="34">
        <v>8381413</v>
      </c>
      <c r="T20" s="34">
        <v>8446703</v>
      </c>
      <c r="U20" s="34">
        <v>8470326</v>
      </c>
      <c r="V20" s="34">
        <v>8562748</v>
      </c>
      <c r="W20" s="34">
        <v>8612498</v>
      </c>
      <c r="X20" s="34">
        <v>8656885</v>
      </c>
      <c r="Y20" s="34">
        <v>8714186</v>
      </c>
      <c r="Z20" s="34">
        <v>8759208</v>
      </c>
      <c r="AA20" s="34">
        <v>8869407</v>
      </c>
      <c r="AB20" s="34">
        <v>8812372</v>
      </c>
      <c r="AC20" s="34">
        <v>8781357</v>
      </c>
      <c r="AD20" s="34">
        <v>8717210</v>
      </c>
      <c r="AE20" s="34">
        <v>9001384</v>
      </c>
      <c r="AF20" s="34">
        <v>9027817</v>
      </c>
      <c r="AG20" s="34">
        <v>8995537</v>
      </c>
      <c r="AH20" s="34">
        <v>8851430</v>
      </c>
      <c r="AI20" s="34">
        <v>9083505</v>
      </c>
      <c r="AJ20" s="34">
        <v>9311271</v>
      </c>
      <c r="AK20" s="34">
        <v>9240650</v>
      </c>
      <c r="AL20" s="34">
        <v>9321827</v>
      </c>
      <c r="AM20" s="34">
        <v>9321827</v>
      </c>
      <c r="AN20" s="34">
        <v>9381936</v>
      </c>
      <c r="AO20" s="34">
        <v>9408691</v>
      </c>
      <c r="AP20" s="34">
        <v>9379397</v>
      </c>
      <c r="AQ20" s="34">
        <v>9423697</v>
      </c>
      <c r="AR20" s="34">
        <v>9189560.8320000004</v>
      </c>
      <c r="AS20" s="34">
        <v>9523420</v>
      </c>
      <c r="AT20" s="34">
        <v>9314900</v>
      </c>
      <c r="AU20" s="34">
        <v>9344829</v>
      </c>
      <c r="AV20" s="34">
        <v>9404995</v>
      </c>
      <c r="AW20" s="34">
        <v>9462943</v>
      </c>
      <c r="AX20" s="34">
        <v>9501653</v>
      </c>
      <c r="AY20" s="34">
        <v>9511858</v>
      </c>
      <c r="AZ20" s="34">
        <v>9416006</v>
      </c>
      <c r="BA20" s="34">
        <v>9476339</v>
      </c>
      <c r="BB20" s="34">
        <v>9512711</v>
      </c>
      <c r="BC20" s="34">
        <v>9501703</v>
      </c>
      <c r="BD20" s="34">
        <v>9439516</v>
      </c>
      <c r="BE20" s="34">
        <v>9395152</v>
      </c>
      <c r="BF20" s="34">
        <v>9448334</v>
      </c>
      <c r="BG20" s="34">
        <v>9520658</v>
      </c>
      <c r="BH20" s="34">
        <v>10083957</v>
      </c>
      <c r="BI20" s="34">
        <v>10189639</v>
      </c>
      <c r="BJ20" s="34">
        <v>10219956</v>
      </c>
      <c r="BK20" s="34">
        <v>10251486</v>
      </c>
      <c r="BL20" s="34">
        <v>10185708</v>
      </c>
      <c r="BM20" s="34">
        <v>10105343</v>
      </c>
      <c r="BN20" s="34">
        <v>10154009</v>
      </c>
      <c r="BO20" s="34">
        <v>10257526</v>
      </c>
      <c r="BP20" s="34">
        <v>10303397</v>
      </c>
      <c r="BQ20" s="34">
        <v>10317277</v>
      </c>
      <c r="BR20" s="34">
        <v>10372957</v>
      </c>
      <c r="BS20" s="34">
        <v>10373484</v>
      </c>
      <c r="BT20" s="34">
        <v>10556702</v>
      </c>
      <c r="BU20" s="34">
        <v>10665870</v>
      </c>
      <c r="BV20" s="34">
        <v>10717242</v>
      </c>
      <c r="BW20" s="34">
        <v>10803198</v>
      </c>
      <c r="BX20" s="34">
        <v>10788254</v>
      </c>
      <c r="BY20" s="34">
        <v>10820180</v>
      </c>
      <c r="BZ20" s="34">
        <v>10845349</v>
      </c>
      <c r="CA20" s="34">
        <v>10983290</v>
      </c>
      <c r="CB20" s="34">
        <v>11028374</v>
      </c>
      <c r="CC20" s="34">
        <v>11115597</v>
      </c>
      <c r="CD20" s="34">
        <v>11196949</v>
      </c>
      <c r="CE20" s="34">
        <v>11391091</v>
      </c>
      <c r="CF20" s="34">
        <v>11384755</v>
      </c>
      <c r="CG20" s="34">
        <v>11489952</v>
      </c>
      <c r="CH20" s="34">
        <v>11551822</v>
      </c>
      <c r="CI20" s="34">
        <v>11650177</v>
      </c>
      <c r="CJ20" s="34">
        <v>11244305</v>
      </c>
      <c r="CK20" s="34">
        <v>11094748</v>
      </c>
      <c r="CL20" s="34">
        <v>11004824</v>
      </c>
      <c r="CM20" s="34">
        <v>11023913</v>
      </c>
      <c r="CN20" s="34">
        <v>11084464</v>
      </c>
      <c r="CO20" s="34">
        <v>11120342</v>
      </c>
      <c r="CP20" s="34">
        <v>11218565</v>
      </c>
      <c r="CQ20" s="34">
        <v>11294636</v>
      </c>
      <c r="CR20" s="34">
        <v>11380272</v>
      </c>
      <c r="CS20" s="34">
        <v>11515050</v>
      </c>
      <c r="CT20" s="34">
        <v>11565865</v>
      </c>
      <c r="CU20" s="34">
        <v>11716099</v>
      </c>
      <c r="CV20" s="34">
        <v>11729482</v>
      </c>
      <c r="CW20" s="34">
        <v>11721636</v>
      </c>
      <c r="CX20" s="34">
        <v>11786760</v>
      </c>
      <c r="CY20" s="34">
        <v>11893391</v>
      </c>
      <c r="CZ20" s="34">
        <v>12005875</v>
      </c>
      <c r="DA20" s="34">
        <v>12117242</v>
      </c>
      <c r="DB20" s="34">
        <v>12244527</v>
      </c>
      <c r="DC20" s="34">
        <v>12367159</v>
      </c>
      <c r="DD20" s="34">
        <v>12398572</v>
      </c>
      <c r="DE20" s="34">
        <v>12527249</v>
      </c>
      <c r="DF20" s="34">
        <v>12577753</v>
      </c>
      <c r="DG20" s="34">
        <v>12750598</v>
      </c>
      <c r="DH20" s="34">
        <v>12644731</v>
      </c>
      <c r="DI20" s="34">
        <v>12652516</v>
      </c>
      <c r="DJ20" s="34">
        <v>12726685</v>
      </c>
      <c r="DK20" s="34">
        <v>12847144</v>
      </c>
      <c r="DL20" s="34">
        <v>12940496</v>
      </c>
      <c r="DM20" s="34">
        <v>12979212</v>
      </c>
      <c r="DN20" s="34">
        <v>13117215</v>
      </c>
      <c r="DO20" s="34">
        <v>13237776</v>
      </c>
      <c r="DP20" s="92">
        <f t="shared" si="0"/>
        <v>9.1910516066100456E-3</v>
      </c>
      <c r="DQ20" s="92">
        <f>+DP47</f>
        <v>6.0176877336834966E-3</v>
      </c>
      <c r="DR20" s="92">
        <f t="shared" si="1"/>
        <v>7.0397493878747719E-2</v>
      </c>
      <c r="DS20" s="92">
        <f t="shared" ref="DS20" si="10">+DP57</f>
        <v>8.1216877169028479E-2</v>
      </c>
    </row>
    <row r="21" spans="2:125" s="20" customFormat="1" ht="15" customHeight="1" x14ac:dyDescent="0.3">
      <c r="B21" s="133" t="s">
        <v>3</v>
      </c>
      <c r="C21" s="133"/>
      <c r="D21" s="34">
        <f t="shared" ref="D21:AX21" si="11">+D19-D20</f>
        <v>90841</v>
      </c>
      <c r="E21" s="34">
        <f t="shared" si="11"/>
        <v>91136</v>
      </c>
      <c r="F21" s="34">
        <f t="shared" si="11"/>
        <v>90467</v>
      </c>
      <c r="G21" s="34">
        <f t="shared" si="11"/>
        <v>90385</v>
      </c>
      <c r="H21" s="34">
        <f t="shared" si="11"/>
        <v>93544</v>
      </c>
      <c r="I21" s="34">
        <f t="shared" si="11"/>
        <v>94682</v>
      </c>
      <c r="J21" s="34">
        <f t="shared" si="11"/>
        <v>95295</v>
      </c>
      <c r="K21" s="34">
        <f t="shared" si="11"/>
        <v>96986</v>
      </c>
      <c r="L21" s="34">
        <f t="shared" si="11"/>
        <v>97276</v>
      </c>
      <c r="M21" s="34">
        <f t="shared" si="11"/>
        <v>98767</v>
      </c>
      <c r="N21" s="34">
        <f t="shared" si="11"/>
        <v>100377</v>
      </c>
      <c r="O21" s="34">
        <f t="shared" si="11"/>
        <v>105470</v>
      </c>
      <c r="P21" s="34">
        <f t="shared" si="11"/>
        <v>100353</v>
      </c>
      <c r="Q21" s="34">
        <f t="shared" si="11"/>
        <v>100003</v>
      </c>
      <c r="R21" s="34">
        <f t="shared" si="11"/>
        <v>101027</v>
      </c>
      <c r="S21" s="34">
        <f t="shared" si="11"/>
        <v>102765</v>
      </c>
      <c r="T21" s="34">
        <f t="shared" si="11"/>
        <v>103893</v>
      </c>
      <c r="U21" s="34">
        <f t="shared" si="11"/>
        <v>105047</v>
      </c>
      <c r="V21" s="34">
        <f t="shared" si="11"/>
        <v>105582</v>
      </c>
      <c r="W21" s="34">
        <f t="shared" si="11"/>
        <v>106678</v>
      </c>
      <c r="X21" s="34">
        <f t="shared" si="11"/>
        <v>106580</v>
      </c>
      <c r="Y21" s="34">
        <f t="shared" si="11"/>
        <v>107755</v>
      </c>
      <c r="Z21" s="34">
        <f t="shared" si="11"/>
        <v>109094</v>
      </c>
      <c r="AA21" s="34">
        <f t="shared" si="11"/>
        <v>112524</v>
      </c>
      <c r="AB21" s="34">
        <f t="shared" si="11"/>
        <v>110532</v>
      </c>
      <c r="AC21" s="34">
        <f t="shared" si="11"/>
        <v>110280</v>
      </c>
      <c r="AD21" s="34">
        <f t="shared" si="11"/>
        <v>109728</v>
      </c>
      <c r="AE21" s="34">
        <f t="shared" si="11"/>
        <v>108084</v>
      </c>
      <c r="AF21" s="34">
        <f t="shared" si="11"/>
        <v>108836</v>
      </c>
      <c r="AG21" s="34">
        <f t="shared" si="11"/>
        <v>107338</v>
      </c>
      <c r="AH21" s="34">
        <f t="shared" si="11"/>
        <v>102247</v>
      </c>
      <c r="AI21" s="34">
        <f t="shared" si="11"/>
        <v>104498</v>
      </c>
      <c r="AJ21" s="34">
        <f t="shared" si="11"/>
        <v>103117</v>
      </c>
      <c r="AK21" s="34">
        <f t="shared" si="11"/>
        <v>101143</v>
      </c>
      <c r="AL21" s="34">
        <f t="shared" si="11"/>
        <v>101120</v>
      </c>
      <c r="AM21" s="34">
        <f t="shared" si="11"/>
        <v>101120</v>
      </c>
      <c r="AN21" s="34">
        <f t="shared" si="11"/>
        <v>101516</v>
      </c>
      <c r="AO21" s="34">
        <f t="shared" si="11"/>
        <v>101028</v>
      </c>
      <c r="AP21" s="34">
        <f t="shared" si="11"/>
        <v>100452</v>
      </c>
      <c r="AQ21" s="34">
        <f t="shared" si="11"/>
        <v>100653</v>
      </c>
      <c r="AR21" s="34">
        <f t="shared" si="11"/>
        <v>96058.226999999955</v>
      </c>
      <c r="AS21" s="34">
        <f t="shared" si="11"/>
        <v>101590</v>
      </c>
      <c r="AT21" s="34">
        <f t="shared" si="11"/>
        <v>98132</v>
      </c>
      <c r="AU21" s="34">
        <f t="shared" si="11"/>
        <v>98883</v>
      </c>
      <c r="AV21" s="34">
        <f t="shared" si="11"/>
        <v>100230</v>
      </c>
      <c r="AW21" s="34">
        <f t="shared" si="11"/>
        <v>101315</v>
      </c>
      <c r="AX21" s="34">
        <f t="shared" si="11"/>
        <v>102189</v>
      </c>
      <c r="AY21" s="34">
        <f>+AY19-AY20</f>
        <v>105850</v>
      </c>
      <c r="AZ21" s="34">
        <f t="shared" ref="AZ21:BY21" si="12">+AZ19-AZ20</f>
        <v>100361</v>
      </c>
      <c r="BA21" s="34">
        <f t="shared" si="12"/>
        <v>105062</v>
      </c>
      <c r="BB21" s="34">
        <f t="shared" si="12"/>
        <v>105917</v>
      </c>
      <c r="BC21" s="34">
        <f t="shared" si="12"/>
        <v>106030</v>
      </c>
      <c r="BD21" s="34">
        <f t="shared" si="12"/>
        <v>105756</v>
      </c>
      <c r="BE21" s="34">
        <f t="shared" si="12"/>
        <v>105847</v>
      </c>
      <c r="BF21" s="34">
        <f t="shared" si="12"/>
        <v>105329</v>
      </c>
      <c r="BG21" s="34">
        <f t="shared" si="12"/>
        <v>105853</v>
      </c>
      <c r="BH21" s="34">
        <f t="shared" si="12"/>
        <v>105529</v>
      </c>
      <c r="BI21" s="34">
        <f t="shared" si="12"/>
        <v>105437</v>
      </c>
      <c r="BJ21" s="34">
        <f t="shared" si="12"/>
        <v>107184</v>
      </c>
      <c r="BK21" s="34">
        <f t="shared" si="12"/>
        <v>109994</v>
      </c>
      <c r="BL21" s="34">
        <f t="shared" si="12"/>
        <v>109521</v>
      </c>
      <c r="BM21" s="34">
        <f t="shared" si="12"/>
        <v>109320</v>
      </c>
      <c r="BN21" s="34">
        <f t="shared" si="12"/>
        <v>109592</v>
      </c>
      <c r="BO21" s="34">
        <f t="shared" si="12"/>
        <v>111895</v>
      </c>
      <c r="BP21" s="34">
        <f t="shared" si="12"/>
        <v>112470</v>
      </c>
      <c r="BQ21" s="34">
        <f t="shared" si="12"/>
        <v>112231</v>
      </c>
      <c r="BR21" s="34">
        <f t="shared" si="12"/>
        <v>111850</v>
      </c>
      <c r="BS21" s="34">
        <f t="shared" si="12"/>
        <v>111646</v>
      </c>
      <c r="BT21" s="34">
        <f t="shared" si="12"/>
        <v>111480</v>
      </c>
      <c r="BU21" s="34">
        <f t="shared" si="12"/>
        <v>110819</v>
      </c>
      <c r="BV21" s="34">
        <f t="shared" si="12"/>
        <v>111839</v>
      </c>
      <c r="BW21" s="34">
        <f t="shared" si="12"/>
        <v>114197</v>
      </c>
      <c r="BX21" s="34">
        <f t="shared" si="12"/>
        <v>113843</v>
      </c>
      <c r="BY21" s="34">
        <f t="shared" si="12"/>
        <v>113918</v>
      </c>
      <c r="BZ21" s="34">
        <f>+BZ19-BZ20</f>
        <v>113444</v>
      </c>
      <c r="CA21" s="34">
        <f>+CA19-CA20</f>
        <v>114952</v>
      </c>
      <c r="CB21" s="34">
        <f>+CB19-CB20</f>
        <v>115607</v>
      </c>
      <c r="CC21" s="34">
        <f>+CC19-CC20</f>
        <v>115784</v>
      </c>
      <c r="CD21" s="34">
        <f t="shared" ref="CD21:CE21" si="13">+CD19-CD20</f>
        <v>115996</v>
      </c>
      <c r="CE21" s="34">
        <f t="shared" si="13"/>
        <v>115391</v>
      </c>
      <c r="CF21" s="34">
        <f>+CF19-CF20</f>
        <v>115283</v>
      </c>
      <c r="CG21" s="34">
        <f>+CG19-CG20</f>
        <v>114709</v>
      </c>
      <c r="CH21" s="34">
        <f>+CH19-CH20</f>
        <v>115622</v>
      </c>
      <c r="CI21" s="34">
        <f>+CI19-CI20</f>
        <v>118701</v>
      </c>
      <c r="CJ21" s="34">
        <f t="shared" ref="CJ21:CW21" si="14">+CJ19-CJ20</f>
        <v>118298</v>
      </c>
      <c r="CK21" s="34">
        <f t="shared" si="14"/>
        <v>118579</v>
      </c>
      <c r="CL21" s="34">
        <f t="shared" si="14"/>
        <v>117333</v>
      </c>
      <c r="CM21" s="34">
        <f t="shared" si="14"/>
        <v>117338</v>
      </c>
      <c r="CN21" s="34">
        <f t="shared" si="14"/>
        <v>118304</v>
      </c>
      <c r="CO21" s="34">
        <f t="shared" si="14"/>
        <v>119586</v>
      </c>
      <c r="CP21" s="34">
        <f t="shared" si="14"/>
        <v>120378</v>
      </c>
      <c r="CQ21" s="34">
        <f t="shared" si="14"/>
        <v>120987</v>
      </c>
      <c r="CR21" s="34">
        <f t="shared" si="14"/>
        <v>122785</v>
      </c>
      <c r="CS21" s="34">
        <f t="shared" si="14"/>
        <v>125250</v>
      </c>
      <c r="CT21" s="34">
        <f t="shared" si="14"/>
        <v>126008</v>
      </c>
      <c r="CU21" s="34">
        <f t="shared" si="14"/>
        <v>130847</v>
      </c>
      <c r="CV21" s="34">
        <f t="shared" si="14"/>
        <v>128987</v>
      </c>
      <c r="CW21" s="34">
        <f t="shared" si="14"/>
        <v>128713</v>
      </c>
      <c r="CX21" s="34">
        <v>128671</v>
      </c>
      <c r="CY21" s="34">
        <v>129585</v>
      </c>
      <c r="CZ21" s="34">
        <v>131321</v>
      </c>
      <c r="DA21" s="34">
        <v>131956</v>
      </c>
      <c r="DB21" s="34">
        <v>132843</v>
      </c>
      <c r="DC21" s="34">
        <v>132813</v>
      </c>
      <c r="DD21" s="34">
        <v>133138</v>
      </c>
      <c r="DE21" s="34">
        <v>132698</v>
      </c>
      <c r="DF21" s="34">
        <v>132775</v>
      </c>
      <c r="DG21" s="34">
        <v>136682</v>
      </c>
      <c r="DH21" s="34">
        <v>136349</v>
      </c>
      <c r="DI21" s="34">
        <v>135746</v>
      </c>
      <c r="DJ21" s="34">
        <v>136271</v>
      </c>
      <c r="DK21" s="34">
        <v>137935</v>
      </c>
      <c r="DL21" s="34">
        <v>138348</v>
      </c>
      <c r="DM21" s="34">
        <v>138320</v>
      </c>
      <c r="DN21" s="34">
        <v>138351</v>
      </c>
      <c r="DO21" s="34">
        <v>138913</v>
      </c>
      <c r="DP21" s="92">
        <f t="shared" si="0"/>
        <v>4.062131824128512E-3</v>
      </c>
      <c r="DQ21" s="92">
        <f>+DP48</f>
        <v>3.4428251148117539E-3</v>
      </c>
      <c r="DR21" s="92">
        <f t="shared" si="1"/>
        <v>4.5929238854630183E-2</v>
      </c>
      <c r="DS21" s="92">
        <f>+DP58</f>
        <v>5.8673136821206784E-2</v>
      </c>
    </row>
    <row r="22" spans="2:125" s="11" customFormat="1" ht="15" customHeight="1" x14ac:dyDescent="0.3">
      <c r="B22" s="150"/>
      <c r="C22" s="150"/>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52"/>
      <c r="DQ22" s="153"/>
    </row>
    <row r="23" spans="2:125" s="11" customFormat="1" ht="15" customHeight="1" x14ac:dyDescent="0.3">
      <c r="B23" s="154" t="s">
        <v>7</v>
      </c>
      <c r="C23" s="155"/>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56"/>
      <c r="DQ23" s="156"/>
    </row>
    <row r="24" spans="2:125" s="11" customFormat="1" ht="12.75" customHeight="1" x14ac:dyDescent="0.3">
      <c r="B24" s="157" t="s">
        <v>89</v>
      </c>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57"/>
      <c r="DQ24" s="157"/>
    </row>
    <row r="25" spans="2:125" s="11" customFormat="1" ht="12.75" customHeight="1" x14ac:dyDescent="0.3">
      <c r="B25" s="157" t="s">
        <v>90</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57"/>
      <c r="DQ25" s="157"/>
    </row>
    <row r="26" spans="2:125" s="11" customFormat="1" ht="15" customHeight="1" x14ac:dyDescent="0.3">
      <c r="B26" s="158" t="s">
        <v>91</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7"/>
      <c r="AC26" s="157"/>
      <c r="AD26" s="157"/>
      <c r="AE26" s="157"/>
      <c r="AF26" s="157"/>
      <c r="AG26" s="157"/>
      <c r="AH26" s="157"/>
      <c r="AI26" s="157"/>
      <c r="AJ26" s="157"/>
      <c r="AK26" s="157"/>
      <c r="AL26" s="157"/>
      <c r="AM26" s="157"/>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58"/>
      <c r="DQ26" s="158"/>
    </row>
    <row r="27" spans="2:125" s="11" customFormat="1" ht="15" customHeight="1" x14ac:dyDescent="0.3">
      <c r="B27" s="158" t="s">
        <v>92</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7"/>
      <c r="AC27" s="157"/>
      <c r="AD27" s="157"/>
      <c r="AE27" s="157"/>
      <c r="AF27" s="157"/>
      <c r="AG27" s="157"/>
      <c r="AH27" s="157"/>
      <c r="AI27" s="157"/>
      <c r="AJ27" s="157"/>
      <c r="AK27" s="157"/>
      <c r="AL27" s="157"/>
      <c r="AM27" s="157"/>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58"/>
      <c r="DQ27" s="158"/>
    </row>
    <row r="28" spans="2:125" s="11" customFormat="1" ht="15" customHeight="1" x14ac:dyDescent="0.3">
      <c r="B28" s="158" t="s">
        <v>93</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7"/>
      <c r="AC28" s="157"/>
      <c r="AD28" s="157"/>
      <c r="AE28" s="157"/>
      <c r="AF28" s="157"/>
      <c r="AG28" s="157"/>
      <c r="AH28" s="157"/>
      <c r="AI28" s="157"/>
      <c r="AJ28" s="157"/>
      <c r="AK28" s="157"/>
      <c r="AL28" s="157"/>
      <c r="AM28" s="157"/>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58"/>
      <c r="DQ28" s="158"/>
    </row>
    <row r="29" spans="2:125" s="11" customFormat="1" ht="15" customHeight="1" x14ac:dyDescent="0.3">
      <c r="B29" s="158" t="s">
        <v>94</v>
      </c>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7"/>
      <c r="AC29" s="157"/>
      <c r="AD29" s="157"/>
      <c r="AE29" s="157"/>
      <c r="AF29" s="157"/>
      <c r="AG29" s="157"/>
      <c r="AH29" s="157"/>
      <c r="AI29" s="157"/>
      <c r="AJ29" s="157"/>
      <c r="AK29" s="157"/>
      <c r="AL29" s="157"/>
      <c r="AM29" s="157"/>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58"/>
      <c r="DQ29" s="158"/>
    </row>
    <row r="30" spans="2:125" s="11" customFormat="1" ht="15" customHeight="1" x14ac:dyDescent="0.3">
      <c r="B30" s="158" t="s">
        <v>95</v>
      </c>
      <c r="C30" s="155"/>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56"/>
      <c r="DQ30" s="156"/>
    </row>
    <row r="31" spans="2:125" s="11" customFormat="1" ht="15" customHeight="1" x14ac:dyDescent="0.3">
      <c r="B31" s="158" t="s">
        <v>96</v>
      </c>
      <c r="C31" s="155"/>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56"/>
      <c r="DQ31" s="156"/>
    </row>
    <row r="32" spans="2:125" s="11" customFormat="1" ht="15" customHeight="1" x14ac:dyDescent="0.3">
      <c r="B32" s="158" t="s">
        <v>97</v>
      </c>
      <c r="C32" s="155"/>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56"/>
      <c r="DQ32" s="156"/>
    </row>
    <row r="33" spans="2:121" s="11" customFormat="1" ht="15" customHeight="1" x14ac:dyDescent="0.3">
      <c r="B33" s="158" t="s">
        <v>98</v>
      </c>
      <c r="C33" s="155"/>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56"/>
      <c r="DQ33" s="156"/>
    </row>
    <row r="34" spans="2:121" s="11" customFormat="1" ht="15" customHeight="1" x14ac:dyDescent="0.3">
      <c r="B34" s="158" t="s">
        <v>99</v>
      </c>
      <c r="C34" s="155"/>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56"/>
      <c r="DQ34" s="156"/>
    </row>
    <row r="35" spans="2:121" s="11" customFormat="1" ht="15" customHeight="1" x14ac:dyDescent="0.3">
      <c r="B35" s="159" t="s">
        <v>100</v>
      </c>
      <c r="C35" s="155"/>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56"/>
      <c r="DQ35" s="156"/>
    </row>
    <row r="36" spans="2:121" s="11" customFormat="1" ht="15" customHeight="1" x14ac:dyDescent="0.3">
      <c r="B36" s="158"/>
      <c r="C36" s="155"/>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56"/>
      <c r="DQ36" s="156"/>
    </row>
    <row r="37" spans="2:121" s="160" customFormat="1" ht="15" customHeight="1" x14ac:dyDescent="0.3">
      <c r="C37" s="150"/>
      <c r="D37" s="16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51"/>
      <c r="DQ37" s="151"/>
    </row>
    <row r="38" spans="2:121" s="160" customFormat="1" ht="15" customHeight="1" x14ac:dyDescent="0.3">
      <c r="B38" s="162"/>
      <c r="C38" s="163"/>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51"/>
      <c r="DQ38" s="151"/>
    </row>
    <row r="39" spans="2:121" s="160" customFormat="1" ht="15" customHeight="1" x14ac:dyDescent="0.3">
      <c r="B39" s="150"/>
      <c r="C39" s="150"/>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16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64"/>
      <c r="DQ39" s="164"/>
    </row>
    <row r="40" spans="2:121" s="160" customFormat="1" ht="15" customHeight="1" x14ac:dyDescent="0.3">
      <c r="B40" s="150"/>
      <c r="C40" s="150"/>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51"/>
      <c r="DQ40" s="151"/>
    </row>
    <row r="41" spans="2:121" s="160" customFormat="1" ht="15" customHeight="1" x14ac:dyDescent="0.3">
      <c r="B41" s="150"/>
      <c r="C41" s="165" t="str">
        <f>+B11</f>
        <v>Valor del Patrimonio Neto del Fideicomiso (2,4,5)</v>
      </c>
      <c r="D41" s="166"/>
      <c r="E41" s="166"/>
      <c r="F41" s="166"/>
      <c r="G41" s="166"/>
      <c r="H41" s="166"/>
      <c r="I41" s="166"/>
      <c r="J41" s="166"/>
      <c r="K41" s="166"/>
      <c r="L41" s="166"/>
      <c r="M41" s="166"/>
      <c r="N41" s="166"/>
      <c r="O41" s="166"/>
      <c r="P41" s="166"/>
      <c r="Q41" s="166"/>
      <c r="R41" s="166"/>
      <c r="S41" s="166">
        <f t="shared" ref="S41:CD41" si="15">+S11/R11</f>
        <v>1.0200798677851464</v>
      </c>
      <c r="T41" s="166">
        <f t="shared" si="15"/>
        <v>1.0173845469470288</v>
      </c>
      <c r="U41" s="166">
        <f t="shared" si="15"/>
        <v>1.0017824851565793</v>
      </c>
      <c r="V41" s="166">
        <f t="shared" si="15"/>
        <v>1.0018695723214066</v>
      </c>
      <c r="W41" s="166">
        <f t="shared" si="15"/>
        <v>1.0519812772242223</v>
      </c>
      <c r="X41" s="166">
        <f t="shared" si="15"/>
        <v>1.0016101041928323</v>
      </c>
      <c r="Y41" s="166">
        <f t="shared" si="15"/>
        <v>1.0340435366187353</v>
      </c>
      <c r="Z41" s="166">
        <f t="shared" si="15"/>
        <v>1.0174595548703613</v>
      </c>
      <c r="AA41" s="166">
        <f t="shared" si="15"/>
        <v>1.0176309823619165</v>
      </c>
      <c r="AB41" s="166">
        <f t="shared" si="15"/>
        <v>1.0178153330397779</v>
      </c>
      <c r="AC41" s="166">
        <f t="shared" si="15"/>
        <v>1.00168511313606</v>
      </c>
      <c r="AD41" s="166">
        <f t="shared" si="15"/>
        <v>1.033018309138678</v>
      </c>
      <c r="AE41" s="166">
        <f t="shared" si="15"/>
        <v>1.0173178345826397</v>
      </c>
      <c r="AF41" s="166">
        <f t="shared" si="15"/>
        <v>1.016576005375406</v>
      </c>
      <c r="AG41" s="166">
        <f t="shared" si="15"/>
        <v>1.0158813203002286</v>
      </c>
      <c r="AH41" s="166">
        <f t="shared" si="15"/>
        <v>1.015569424967657</v>
      </c>
      <c r="AI41" s="166">
        <f t="shared" si="15"/>
        <v>1.0151914403824542</v>
      </c>
      <c r="AJ41" s="166">
        <f t="shared" si="15"/>
        <v>1.014469636038501</v>
      </c>
      <c r="AK41" s="166">
        <f t="shared" si="15"/>
        <v>1.0144743321674208</v>
      </c>
      <c r="AL41" s="166">
        <f t="shared" si="15"/>
        <v>1.0139666151909335</v>
      </c>
      <c r="AM41" s="166">
        <f t="shared" si="15"/>
        <v>1.0138873422788295</v>
      </c>
      <c r="AN41" s="166">
        <f t="shared" si="15"/>
        <v>1.0135870949569139</v>
      </c>
      <c r="AO41" s="166">
        <f t="shared" si="15"/>
        <v>1.0134857600541702</v>
      </c>
      <c r="AP41" s="166">
        <f t="shared" si="15"/>
        <v>1.0135302439758864</v>
      </c>
      <c r="AQ41" s="166">
        <f t="shared" si="15"/>
        <v>1.0131800824944455</v>
      </c>
      <c r="AR41" s="166">
        <f t="shared" si="15"/>
        <v>1.0134063718309576</v>
      </c>
      <c r="AS41" s="166">
        <f t="shared" si="15"/>
        <v>1.0129828737134488</v>
      </c>
      <c r="AT41" s="166">
        <f t="shared" si="15"/>
        <v>1.0128610905373925</v>
      </c>
      <c r="AU41" s="166">
        <f t="shared" si="15"/>
        <v>0.98737184080521667</v>
      </c>
      <c r="AV41" s="166">
        <f t="shared" si="15"/>
        <v>1.0125001881785876</v>
      </c>
      <c r="AW41" s="166">
        <f t="shared" si="15"/>
        <v>1.0126813824501668</v>
      </c>
      <c r="AX41" s="166">
        <f t="shared" si="15"/>
        <v>1.0128929804689857</v>
      </c>
      <c r="AY41" s="166">
        <f t="shared" si="15"/>
        <v>1.0085949322947851</v>
      </c>
      <c r="AZ41" s="166">
        <f t="shared" si="15"/>
        <v>0.98173436168710371</v>
      </c>
      <c r="BA41" s="166">
        <f t="shared" si="15"/>
        <v>1.0133036030874254</v>
      </c>
      <c r="BB41" s="166">
        <f t="shared" si="15"/>
        <v>1.0130695997251529</v>
      </c>
      <c r="BC41" s="166">
        <f t="shared" si="15"/>
        <v>1.0126910743755175</v>
      </c>
      <c r="BD41" s="166">
        <f t="shared" si="15"/>
        <v>1.0137481130662949</v>
      </c>
      <c r="BE41" s="166">
        <f t="shared" si="15"/>
        <v>1.0125629332128347</v>
      </c>
      <c r="BF41" s="166">
        <f t="shared" si="15"/>
        <v>1.0126446077075715</v>
      </c>
      <c r="BG41" s="166">
        <f t="shared" si="15"/>
        <v>1.0126042491692353</v>
      </c>
      <c r="BH41" s="166">
        <f t="shared" si="15"/>
        <v>1.010978363624838</v>
      </c>
      <c r="BI41" s="166">
        <f t="shared" si="15"/>
        <v>1.0131760437906723</v>
      </c>
      <c r="BJ41" s="166">
        <f t="shared" si="15"/>
        <v>1.0118471808614018</v>
      </c>
      <c r="BK41" s="166">
        <f t="shared" si="15"/>
        <v>1.0119050311586069</v>
      </c>
      <c r="BL41" s="166">
        <f t="shared" si="15"/>
        <v>1.0108329145366413</v>
      </c>
      <c r="BM41" s="166">
        <f t="shared" si="15"/>
        <v>1.000000000007107</v>
      </c>
      <c r="BN41" s="166">
        <f t="shared" si="15"/>
        <v>1.0215788463300255</v>
      </c>
      <c r="BO41" s="166">
        <f t="shared" si="15"/>
        <v>1.0107496123971853</v>
      </c>
      <c r="BP41" s="166">
        <f t="shared" si="15"/>
        <v>1.0106557157295109</v>
      </c>
      <c r="BQ41" s="166">
        <f t="shared" si="15"/>
        <v>1.0103543691528172</v>
      </c>
      <c r="BR41" s="166">
        <f t="shared" si="15"/>
        <v>1.010232423248471</v>
      </c>
      <c r="BS41" s="166">
        <f t="shared" si="15"/>
        <v>1.0101736237569776</v>
      </c>
      <c r="BT41" s="166">
        <f t="shared" si="15"/>
        <v>1.0101190389486003</v>
      </c>
      <c r="BU41" s="166">
        <f t="shared" si="15"/>
        <v>1.0100400213670395</v>
      </c>
      <c r="BV41" s="166">
        <f t="shared" si="15"/>
        <v>1</v>
      </c>
      <c r="BW41" s="166">
        <f t="shared" si="15"/>
        <v>1.0361564969748684</v>
      </c>
      <c r="BX41" s="166">
        <f t="shared" si="15"/>
        <v>1.009695250593293</v>
      </c>
      <c r="BY41" s="166">
        <f t="shared" si="15"/>
        <v>1.0095737497353565</v>
      </c>
      <c r="BZ41" s="166">
        <f t="shared" si="15"/>
        <v>1.0094938737724237</v>
      </c>
      <c r="CA41" s="166">
        <f t="shared" si="15"/>
        <v>1.0095715042217437</v>
      </c>
      <c r="CB41" s="166">
        <f t="shared" si="15"/>
        <v>1.009610301852067</v>
      </c>
      <c r="CC41" s="166">
        <f t="shared" si="15"/>
        <v>1.0094590093944205</v>
      </c>
      <c r="CD41" s="166">
        <f t="shared" si="15"/>
        <v>1.0093987692962574</v>
      </c>
      <c r="CE41" s="166">
        <f t="shared" ref="CE41:DL41" si="16">+CE11/CD11</f>
        <v>1.0093234073956932</v>
      </c>
      <c r="CF41" s="166">
        <f t="shared" si="16"/>
        <v>1.0093779521683952</v>
      </c>
      <c r="CG41" s="166">
        <f t="shared" si="16"/>
        <v>1.0092634162079863</v>
      </c>
      <c r="CH41" s="166">
        <f t="shared" si="16"/>
        <v>1.0091664954782049</v>
      </c>
      <c r="CI41" s="166">
        <f t="shared" si="16"/>
        <v>1.0292927645887688</v>
      </c>
      <c r="CJ41" s="166">
        <f t="shared" si="16"/>
        <v>1</v>
      </c>
      <c r="CK41" s="166">
        <f t="shared" si="16"/>
        <v>1.0183256455834835</v>
      </c>
      <c r="CL41" s="166">
        <f t="shared" si="16"/>
        <v>1.0090942910685838</v>
      </c>
      <c r="CM41" s="166">
        <f t="shared" si="16"/>
        <v>1</v>
      </c>
      <c r="CN41" s="166">
        <f t="shared" si="16"/>
        <v>0.99999999779474902</v>
      </c>
      <c r="CO41" s="166">
        <f t="shared" si="16"/>
        <v>1.0000031023139797</v>
      </c>
      <c r="CP41" s="166">
        <f t="shared" si="16"/>
        <v>1.0358050724005758</v>
      </c>
      <c r="CQ41" s="166">
        <f t="shared" si="16"/>
        <v>1.0087350430546445</v>
      </c>
      <c r="CR41" s="166">
        <f t="shared" si="16"/>
        <v>1.0087192765028807</v>
      </c>
      <c r="CS41" s="166">
        <f t="shared" si="16"/>
        <v>1.0087798650014812</v>
      </c>
      <c r="CT41" s="166">
        <f t="shared" si="16"/>
        <v>1.0088694696022991</v>
      </c>
      <c r="CU41" s="166">
        <f t="shared" si="16"/>
        <v>1.0307986761569103</v>
      </c>
      <c r="CV41" s="166">
        <f t="shared" si="16"/>
        <v>1</v>
      </c>
      <c r="CW41" s="166">
        <f t="shared" si="16"/>
        <v>1</v>
      </c>
      <c r="CX41" s="166">
        <f t="shared" si="16"/>
        <v>1</v>
      </c>
      <c r="CY41" s="166">
        <f t="shared" si="16"/>
        <v>1.0268101263905061</v>
      </c>
      <c r="CZ41" s="166">
        <f t="shared" si="16"/>
        <v>1.0175516970613536</v>
      </c>
      <c r="DA41" s="166">
        <f t="shared" si="16"/>
        <v>1.0087121938823098</v>
      </c>
      <c r="DB41" s="166">
        <f t="shared" si="16"/>
        <v>1.0000649718174621</v>
      </c>
      <c r="DC41" s="166">
        <f t="shared" si="16"/>
        <v>1.0174010973078951</v>
      </c>
      <c r="DD41" s="166">
        <f t="shared" si="16"/>
        <v>1.0086163250479305</v>
      </c>
      <c r="DE41" s="166">
        <f t="shared" si="16"/>
        <v>1</v>
      </c>
      <c r="DF41" s="166">
        <f t="shared" si="16"/>
        <v>1.0174725454139366</v>
      </c>
      <c r="DG41" s="166">
        <f t="shared" si="16"/>
        <v>1.0298523945834435</v>
      </c>
      <c r="DH41" s="166">
        <f t="shared" si="16"/>
        <v>1.008629528802468</v>
      </c>
      <c r="DI41" s="166">
        <f t="shared" si="16"/>
        <v>1.0086208578822555</v>
      </c>
      <c r="DJ41" s="166">
        <f t="shared" si="16"/>
        <v>1.0086150414063035</v>
      </c>
      <c r="DK41" s="166">
        <f t="shared" si="16"/>
        <v>1.0084760632613337</v>
      </c>
      <c r="DL41" s="166">
        <f t="shared" si="16"/>
        <v>1.0035462139441877</v>
      </c>
      <c r="DM41" s="166">
        <f>+DM11/DL11</f>
        <v>1.0132542977168173</v>
      </c>
      <c r="DN41" s="166">
        <f>+DN11/DM11</f>
        <v>1.0083809961247254</v>
      </c>
      <c r="DO41" s="166">
        <f>+DO11/DN11</f>
        <v>1.0082294439455259</v>
      </c>
      <c r="DP41" s="167">
        <f>IFERROR(GEOMEAN(DC41:DO41)-1,)</f>
        <v>1.0828352994184165E-2</v>
      </c>
      <c r="DQ41" s="167"/>
    </row>
    <row r="42" spans="2:121" s="160" customFormat="1" ht="15" customHeight="1" x14ac:dyDescent="0.3">
      <c r="B42" s="150"/>
      <c r="C42" s="165" t="str">
        <f>+B13</f>
        <v>Depósitos asegurados (1,4)</v>
      </c>
      <c r="D42" s="166"/>
      <c r="E42" s="166"/>
      <c r="F42" s="166"/>
      <c r="G42" s="166"/>
      <c r="H42" s="166"/>
      <c r="I42" s="166"/>
      <c r="J42" s="166"/>
      <c r="K42" s="166"/>
      <c r="L42" s="166"/>
      <c r="M42" s="166"/>
      <c r="N42" s="166"/>
      <c r="O42" s="166"/>
      <c r="P42" s="166"/>
      <c r="Q42" s="166"/>
      <c r="R42" s="166"/>
      <c r="S42" s="166">
        <f t="shared" ref="S42:CD42" si="17">+S13/R13</f>
        <v>0.99771508480592441</v>
      </c>
      <c r="T42" s="166">
        <f t="shared" si="17"/>
        <v>1.0052295254651209</v>
      </c>
      <c r="U42" s="166">
        <f t="shared" si="17"/>
        <v>1.0104805517943352</v>
      </c>
      <c r="V42" s="166">
        <f t="shared" si="17"/>
        <v>1.0164805358069282</v>
      </c>
      <c r="W42" s="166">
        <f t="shared" si="17"/>
        <v>1.012592508853791</v>
      </c>
      <c r="X42" s="166">
        <f t="shared" si="17"/>
        <v>1.0065846602156256</v>
      </c>
      <c r="Y42" s="166">
        <f t="shared" si="17"/>
        <v>1.0018018077465038</v>
      </c>
      <c r="Z42" s="166">
        <f t="shared" si="17"/>
        <v>1.0085664897353988</v>
      </c>
      <c r="AA42" s="166">
        <f t="shared" si="17"/>
        <v>1.0417481448309345</v>
      </c>
      <c r="AB42" s="166">
        <f t="shared" si="17"/>
        <v>0.97447503303688632</v>
      </c>
      <c r="AC42" s="166">
        <f t="shared" si="17"/>
        <v>1.0008774879136915</v>
      </c>
      <c r="AD42" s="166">
        <f t="shared" si="17"/>
        <v>1.0032360948268806</v>
      </c>
      <c r="AE42" s="166">
        <f t="shared" si="17"/>
        <v>0.97664997335019466</v>
      </c>
      <c r="AF42" s="166">
        <f t="shared" si="17"/>
        <v>0.99479937134878416</v>
      </c>
      <c r="AG42" s="166">
        <f t="shared" si="17"/>
        <v>0.98824069199929143</v>
      </c>
      <c r="AH42" s="166">
        <f t="shared" si="17"/>
        <v>0.96888745694624079</v>
      </c>
      <c r="AI42" s="166">
        <f t="shared" si="17"/>
        <v>1.0092582139673192</v>
      </c>
      <c r="AJ42" s="166">
        <f t="shared" si="17"/>
        <v>0.98208819163884431</v>
      </c>
      <c r="AK42" s="166">
        <f t="shared" si="17"/>
        <v>0.98931328369316429</v>
      </c>
      <c r="AL42" s="166">
        <f t="shared" si="17"/>
        <v>0.99098694723952996</v>
      </c>
      <c r="AM42" s="166">
        <f t="shared" si="17"/>
        <v>1.0081340960698466</v>
      </c>
      <c r="AN42" s="166">
        <f t="shared" si="17"/>
        <v>1.0100179646394234</v>
      </c>
      <c r="AO42" s="166">
        <f t="shared" si="17"/>
        <v>1.0149568830783191</v>
      </c>
      <c r="AP42" s="166">
        <f t="shared" si="17"/>
        <v>1.0281924482682248</v>
      </c>
      <c r="AQ42" s="166">
        <f t="shared" si="17"/>
        <v>0.98795431465756256</v>
      </c>
      <c r="AR42" s="166">
        <f t="shared" si="17"/>
        <v>0.9908212942471073</v>
      </c>
      <c r="AS42" s="166">
        <f t="shared" si="17"/>
        <v>1.019233195335175</v>
      </c>
      <c r="AT42" s="166">
        <f t="shared" si="17"/>
        <v>0.9746515154522718</v>
      </c>
      <c r="AU42" s="166">
        <f t="shared" si="17"/>
        <v>1.0216087159180107</v>
      </c>
      <c r="AV42" s="166">
        <f t="shared" si="17"/>
        <v>1.0176795873860773</v>
      </c>
      <c r="AW42" s="166">
        <f t="shared" si="17"/>
        <v>1.0041251097664481</v>
      </c>
      <c r="AX42" s="166">
        <f t="shared" si="17"/>
        <v>1.0078078968895874</v>
      </c>
      <c r="AY42" s="166">
        <f t="shared" si="17"/>
        <v>1.0560504804249691</v>
      </c>
      <c r="AZ42" s="166">
        <f t="shared" si="17"/>
        <v>0.97650212636578593</v>
      </c>
      <c r="BA42" s="166">
        <f t="shared" si="17"/>
        <v>1.0118211722912358</v>
      </c>
      <c r="BB42" s="166">
        <f t="shared" si="17"/>
        <v>1.0270327222339328</v>
      </c>
      <c r="BC42" s="166">
        <f t="shared" si="17"/>
        <v>0.98619472688576437</v>
      </c>
      <c r="BD42" s="166">
        <f t="shared" si="17"/>
        <v>0.98470244559560038</v>
      </c>
      <c r="BE42" s="166">
        <f t="shared" si="17"/>
        <v>1.0131301732962179</v>
      </c>
      <c r="BF42" s="166">
        <f t="shared" si="17"/>
        <v>0.99009358345097742</v>
      </c>
      <c r="BG42" s="166">
        <f t="shared" si="17"/>
        <v>0.99833889927628683</v>
      </c>
      <c r="BH42" s="166">
        <f t="shared" si="17"/>
        <v>0.99331465602369828</v>
      </c>
      <c r="BI42" s="166">
        <f t="shared" si="17"/>
        <v>1.0080035167912649</v>
      </c>
      <c r="BJ42" s="166">
        <f t="shared" si="17"/>
        <v>1.0186290470568378</v>
      </c>
      <c r="BK42" s="166">
        <f t="shared" si="17"/>
        <v>1.0345746664244051</v>
      </c>
      <c r="BL42" s="166">
        <f t="shared" si="17"/>
        <v>0.98359935430824297</v>
      </c>
      <c r="BM42" s="166">
        <f t="shared" si="17"/>
        <v>1.0073924736612234</v>
      </c>
      <c r="BN42" s="166">
        <f t="shared" si="17"/>
        <v>1.0170694801754412</v>
      </c>
      <c r="BO42" s="166">
        <f t="shared" si="17"/>
        <v>0.98576406733787658</v>
      </c>
      <c r="BP42" s="166">
        <f t="shared" si="17"/>
        <v>0.99503185052114251</v>
      </c>
      <c r="BQ42" s="166">
        <f t="shared" si="17"/>
        <v>1.0029441437131108</v>
      </c>
      <c r="BR42" s="166">
        <f t="shared" si="17"/>
        <v>1.0020490029828382</v>
      </c>
      <c r="BS42" s="166">
        <f t="shared" si="17"/>
        <v>1.0021636070998479</v>
      </c>
      <c r="BT42" s="166">
        <f t="shared" si="17"/>
        <v>0.99334182209785393</v>
      </c>
      <c r="BU42" s="166">
        <f t="shared" si="17"/>
        <v>0.99614522682526996</v>
      </c>
      <c r="BV42" s="166">
        <f t="shared" si="17"/>
        <v>1.011413941764421</v>
      </c>
      <c r="BW42" s="166">
        <f t="shared" si="17"/>
        <v>1.0217029733199905</v>
      </c>
      <c r="BX42" s="166">
        <f t="shared" si="17"/>
        <v>0.99000537947239642</v>
      </c>
      <c r="BY42" s="166">
        <f t="shared" si="17"/>
        <v>1.011955635453464</v>
      </c>
      <c r="BZ42" s="166">
        <f t="shared" si="17"/>
        <v>1.0064302176765847</v>
      </c>
      <c r="CA42" s="166">
        <f t="shared" si="17"/>
        <v>1.0077017524976624</v>
      </c>
      <c r="CB42" s="166">
        <f t="shared" si="17"/>
        <v>0.9927848060767086</v>
      </c>
      <c r="CC42" s="166">
        <f t="shared" si="17"/>
        <v>1.0042919222874154</v>
      </c>
      <c r="CD42" s="166">
        <f t="shared" si="17"/>
        <v>1.0112936703696036</v>
      </c>
      <c r="CE42" s="166">
        <f t="shared" ref="CE42:DO42" si="18">+CE13/CD13</f>
        <v>1.0039537637368823</v>
      </c>
      <c r="CF42" s="166">
        <f t="shared" si="18"/>
        <v>0.99782062932312476</v>
      </c>
      <c r="CG42" s="166">
        <f t="shared" si="18"/>
        <v>1.0016087525627297</v>
      </c>
      <c r="CH42" s="166">
        <f t="shared" si="18"/>
        <v>1.0045254254125922</v>
      </c>
      <c r="CI42" s="166">
        <f t="shared" si="18"/>
        <v>1.0484005691444815</v>
      </c>
      <c r="CJ42" s="166">
        <f t="shared" si="18"/>
        <v>0.99369548821316289</v>
      </c>
      <c r="CK42" s="166">
        <f t="shared" si="18"/>
        <v>1.0130986737405003</v>
      </c>
      <c r="CL42" s="166">
        <f t="shared" si="18"/>
        <v>0.97915693181053998</v>
      </c>
      <c r="CM42" s="166">
        <f t="shared" si="18"/>
        <v>0.99615902196763617</v>
      </c>
      <c r="CN42" s="166">
        <f t="shared" si="18"/>
        <v>1.0064438000897209</v>
      </c>
      <c r="CO42" s="166">
        <f t="shared" si="18"/>
        <v>1.0100937118981461</v>
      </c>
      <c r="CP42" s="166">
        <f t="shared" si="18"/>
        <v>1.0086280209666441</v>
      </c>
      <c r="CQ42" s="166">
        <f t="shared" si="18"/>
        <v>1.0098957674506741</v>
      </c>
      <c r="CR42" s="166">
        <f t="shared" si="18"/>
        <v>1.0134171969390513</v>
      </c>
      <c r="CS42" s="166">
        <f t="shared" si="18"/>
        <v>1.0292841785781743</v>
      </c>
      <c r="CT42" s="166">
        <f t="shared" si="18"/>
        <v>0.99846515373279143</v>
      </c>
      <c r="CU42" s="166">
        <f t="shared" si="18"/>
        <v>1.0532431340447508</v>
      </c>
      <c r="CV42" s="166">
        <f t="shared" si="18"/>
        <v>0.98771368925430791</v>
      </c>
      <c r="CW42" s="166">
        <f t="shared" si="18"/>
        <v>0.99693093845498837</v>
      </c>
      <c r="CX42" s="166">
        <f t="shared" si="18"/>
        <v>1.0207204516692612</v>
      </c>
      <c r="CY42" s="166">
        <f t="shared" si="18"/>
        <v>0.99298529235943844</v>
      </c>
      <c r="CZ42" s="166">
        <f t="shared" si="18"/>
        <v>1.0056123561461205</v>
      </c>
      <c r="DA42" s="166">
        <f t="shared" si="18"/>
        <v>1.0076467719251143</v>
      </c>
      <c r="DB42" s="166">
        <f t="shared" si="18"/>
        <v>1.0071839269953058</v>
      </c>
      <c r="DC42" s="166">
        <f t="shared" si="18"/>
        <v>1.0078688259799342</v>
      </c>
      <c r="DD42" s="166">
        <f t="shared" si="18"/>
        <v>1.0116863776660305</v>
      </c>
      <c r="DE42" s="166">
        <f t="shared" si="18"/>
        <v>1.0078334310665338</v>
      </c>
      <c r="DF42" s="166">
        <f t="shared" si="18"/>
        <v>1.0072326747580715</v>
      </c>
      <c r="DG42" s="166">
        <f t="shared" si="18"/>
        <v>1.0397963403548423</v>
      </c>
      <c r="DH42" s="166">
        <f t="shared" si="18"/>
        <v>0.98188624769994748</v>
      </c>
      <c r="DI42" s="166">
        <f t="shared" si="18"/>
        <v>1.0150732425390621</v>
      </c>
      <c r="DJ42" s="166">
        <f t="shared" si="18"/>
        <v>1.0162569471925291</v>
      </c>
      <c r="DK42" s="166">
        <f t="shared" si="18"/>
        <v>0.98413087247755093</v>
      </c>
      <c r="DL42" s="166">
        <f t="shared" si="18"/>
        <v>0.99813651385324276</v>
      </c>
      <c r="DM42" s="166">
        <f t="shared" si="18"/>
        <v>0.99827815971251821</v>
      </c>
      <c r="DN42" s="166">
        <f t="shared" si="18"/>
        <v>1.0021006628470259</v>
      </c>
      <c r="DO42" s="166">
        <f t="shared" si="18"/>
        <v>1.0170783156216598</v>
      </c>
      <c r="DP42" s="167">
        <f t="shared" ref="DP42:DP58" si="19">IFERROR(GEOMEAN(DC42:DO42)-1,)</f>
        <v>6.6176375604147797E-3</v>
      </c>
      <c r="DQ42" s="167"/>
    </row>
    <row r="43" spans="2:121" s="170" customFormat="1" x14ac:dyDescent="0.3">
      <c r="B43" s="168"/>
      <c r="C43" s="169" t="str">
        <f>+B16</f>
        <v xml:space="preserve">Depósitos cubiertos(3) </v>
      </c>
      <c r="D43" s="166"/>
      <c r="E43" s="166"/>
      <c r="F43" s="166"/>
      <c r="G43" s="166"/>
      <c r="H43" s="166"/>
      <c r="I43" s="166"/>
      <c r="J43" s="166"/>
      <c r="K43" s="166"/>
      <c r="L43" s="166"/>
      <c r="M43" s="166"/>
      <c r="N43" s="166"/>
      <c r="O43" s="166"/>
      <c r="P43" s="166"/>
      <c r="Q43" s="166"/>
      <c r="R43" s="166"/>
      <c r="S43" s="166">
        <f t="shared" ref="S43:CD43" si="20">+S16/R16</f>
        <v>1.0473802833215478</v>
      </c>
      <c r="T43" s="166">
        <f t="shared" si="20"/>
        <v>0.99290210348321717</v>
      </c>
      <c r="U43" s="166">
        <f t="shared" si="20"/>
        <v>0.99520996105783144</v>
      </c>
      <c r="V43" s="166">
        <f t="shared" si="20"/>
        <v>1.0014376604306037</v>
      </c>
      <c r="W43" s="166">
        <f t="shared" si="20"/>
        <v>1.0148437718401193</v>
      </c>
      <c r="X43" s="166">
        <f t="shared" si="20"/>
        <v>0.98573275323010012</v>
      </c>
      <c r="Y43" s="166">
        <f t="shared" si="20"/>
        <v>1.0086653007139277</v>
      </c>
      <c r="Z43" s="166">
        <f t="shared" si="20"/>
        <v>1.0044513172052889</v>
      </c>
      <c r="AA43" s="166">
        <f t="shared" si="20"/>
        <v>1.0521582656816251</v>
      </c>
      <c r="AB43" s="166">
        <f t="shared" si="20"/>
        <v>0.97138580596436463</v>
      </c>
      <c r="AC43" s="166">
        <f t="shared" si="20"/>
        <v>0.99771488135658826</v>
      </c>
      <c r="AD43" s="166">
        <f t="shared" si="20"/>
        <v>0.99496936584745743</v>
      </c>
      <c r="AE43" s="166">
        <f t="shared" si="20"/>
        <v>1.0181122408568195</v>
      </c>
      <c r="AF43" s="166">
        <f t="shared" si="20"/>
        <v>0.98927301541380186</v>
      </c>
      <c r="AG43" s="166">
        <f t="shared" si="20"/>
        <v>0.98333105944107657</v>
      </c>
      <c r="AH43" s="166">
        <f t="shared" si="20"/>
        <v>0.96081710639308038</v>
      </c>
      <c r="AI43" s="166">
        <f t="shared" si="20"/>
        <v>1.018302225783537</v>
      </c>
      <c r="AJ43" s="166">
        <f t="shared" si="20"/>
        <v>0.990184542573187</v>
      </c>
      <c r="AK43" s="166">
        <f t="shared" si="20"/>
        <v>0.98807734651438317</v>
      </c>
      <c r="AL43" s="166">
        <f t="shared" si="20"/>
        <v>0.98851766226223481</v>
      </c>
      <c r="AM43" s="166">
        <f t="shared" si="20"/>
        <v>1.0262307241025075</v>
      </c>
      <c r="AN43" s="166">
        <f t="shared" si="20"/>
        <v>0.9795502826503989</v>
      </c>
      <c r="AO43" s="166">
        <f t="shared" si="20"/>
        <v>0.99057280128706438</v>
      </c>
      <c r="AP43" s="166">
        <f t="shared" si="20"/>
        <v>0.9981764945055992</v>
      </c>
      <c r="AQ43" s="166">
        <f t="shared" si="20"/>
        <v>1.0272260130479953</v>
      </c>
      <c r="AR43" s="166">
        <f t="shared" si="20"/>
        <v>0.97578812454941666</v>
      </c>
      <c r="AS43" s="166">
        <f t="shared" si="20"/>
        <v>1.0114943460986299</v>
      </c>
      <c r="AT43" s="166">
        <f t="shared" si="20"/>
        <v>0.96660622383568062</v>
      </c>
      <c r="AU43" s="166">
        <f t="shared" si="20"/>
        <v>0.9998755066307301</v>
      </c>
      <c r="AV43" s="166">
        <f t="shared" si="20"/>
        <v>1.0104523304279389</v>
      </c>
      <c r="AW43" s="166">
        <f t="shared" si="20"/>
        <v>1.0061099944326499</v>
      </c>
      <c r="AX43" s="166">
        <f t="shared" si="20"/>
        <v>1.0017225696495626</v>
      </c>
      <c r="AY43" s="166">
        <f t="shared" si="20"/>
        <v>1.0564507555012732</v>
      </c>
      <c r="AZ43" s="166">
        <f t="shared" si="20"/>
        <v>0.96875550730780602</v>
      </c>
      <c r="BA43" s="166">
        <f t="shared" si="20"/>
        <v>1.018070291959944</v>
      </c>
      <c r="BB43" s="166">
        <f t="shared" si="20"/>
        <v>0.9989471859120187</v>
      </c>
      <c r="BC43" s="166">
        <f t="shared" si="20"/>
        <v>1.025891993834714</v>
      </c>
      <c r="BD43" s="166">
        <f t="shared" si="20"/>
        <v>0.97675216275433263</v>
      </c>
      <c r="BE43" s="166">
        <f t="shared" si="20"/>
        <v>1.0064481388570545</v>
      </c>
      <c r="BF43" s="166">
        <f t="shared" si="20"/>
        <v>0.98873763133496617</v>
      </c>
      <c r="BG43" s="166">
        <f t="shared" si="20"/>
        <v>1.0078353725393543</v>
      </c>
      <c r="BH43" s="166">
        <f t="shared" si="20"/>
        <v>0.99818631935619317</v>
      </c>
      <c r="BI43" s="166">
        <f t="shared" si="20"/>
        <v>0.99006480415421028</v>
      </c>
      <c r="BJ43" s="166">
        <f t="shared" si="20"/>
        <v>1.0013593465460571</v>
      </c>
      <c r="BK43" s="166">
        <f t="shared" si="20"/>
        <v>1.0600237715714456</v>
      </c>
      <c r="BL43" s="166">
        <f t="shared" si="20"/>
        <v>0.97088841300492801</v>
      </c>
      <c r="BM43" s="166">
        <f t="shared" si="20"/>
        <v>1.0005142874394493</v>
      </c>
      <c r="BN43" s="166">
        <f t="shared" si="20"/>
        <v>1.0115123977543894</v>
      </c>
      <c r="BO43" s="166">
        <f t="shared" si="20"/>
        <v>1.0375284593261318</v>
      </c>
      <c r="BP43" s="166">
        <f t="shared" si="20"/>
        <v>0.97986922773142604</v>
      </c>
      <c r="BQ43" s="166">
        <f t="shared" si="20"/>
        <v>1.0029575337273029</v>
      </c>
      <c r="BR43" s="166">
        <f t="shared" si="20"/>
        <v>0.98746481603048863</v>
      </c>
      <c r="BS43" s="166">
        <f t="shared" si="20"/>
        <v>1.0005062109125271</v>
      </c>
      <c r="BT43" s="166">
        <f t="shared" si="20"/>
        <v>0.99872911369145589</v>
      </c>
      <c r="BU43" s="166">
        <f t="shared" si="20"/>
        <v>0.98984829879134828</v>
      </c>
      <c r="BV43" s="166">
        <f t="shared" si="20"/>
        <v>0.99573173777510893</v>
      </c>
      <c r="BW43" s="166">
        <f t="shared" si="20"/>
        <v>1.053735596709523</v>
      </c>
      <c r="BX43" s="166">
        <f t="shared" si="20"/>
        <v>0.97239197473088312</v>
      </c>
      <c r="BY43" s="166">
        <f t="shared" si="20"/>
        <v>0.99664724295736906</v>
      </c>
      <c r="BZ43" s="166">
        <f t="shared" si="20"/>
        <v>0.99554786524304739</v>
      </c>
      <c r="CA43" s="166">
        <f t="shared" si="20"/>
        <v>1.0291475491359818</v>
      </c>
      <c r="CB43" s="166">
        <f t="shared" si="20"/>
        <v>0.99443798877797618</v>
      </c>
      <c r="CC43" s="166">
        <f t="shared" si="20"/>
        <v>0.99435719449669735</v>
      </c>
      <c r="CD43" s="166">
        <f t="shared" si="20"/>
        <v>0.99965212305233431</v>
      </c>
      <c r="CE43" s="166">
        <f t="shared" ref="CE43:DO43" si="21">+CE16/CD16</f>
        <v>1.0019635444459822</v>
      </c>
      <c r="CF43" s="166">
        <f t="shared" si="21"/>
        <v>0.97298950899990422</v>
      </c>
      <c r="CG43" s="166">
        <f t="shared" si="21"/>
        <v>1.0100564916440522</v>
      </c>
      <c r="CH43" s="166">
        <f t="shared" si="21"/>
        <v>1.0015729418167929</v>
      </c>
      <c r="CI43" s="166">
        <f t="shared" si="21"/>
        <v>1.0494776686049005</v>
      </c>
      <c r="CJ43" s="166">
        <f t="shared" si="21"/>
        <v>0.98212987767616311</v>
      </c>
      <c r="CK43" s="166">
        <f t="shared" si="21"/>
        <v>1.0026453425313322</v>
      </c>
      <c r="CL43" s="166">
        <f t="shared" si="21"/>
        <v>0.98794039780025777</v>
      </c>
      <c r="CM43" s="166">
        <f t="shared" si="21"/>
        <v>1.0394049774816985</v>
      </c>
      <c r="CN43" s="166">
        <f t="shared" si="21"/>
        <v>1.000197272598818</v>
      </c>
      <c r="CO43" s="166">
        <f t="shared" si="21"/>
        <v>0.99358023251749206</v>
      </c>
      <c r="CP43" s="166">
        <f t="shared" si="21"/>
        <v>1.0011656460422635</v>
      </c>
      <c r="CQ43" s="166">
        <f t="shared" si="21"/>
        <v>1.0011998003559612</v>
      </c>
      <c r="CR43" s="166">
        <f t="shared" si="21"/>
        <v>1.0019664196080702</v>
      </c>
      <c r="CS43" s="166">
        <f t="shared" si="21"/>
        <v>1.0270652054316747</v>
      </c>
      <c r="CT43" s="166">
        <f t="shared" si="21"/>
        <v>0.98042375687640138</v>
      </c>
      <c r="CU43" s="166">
        <f t="shared" si="21"/>
        <v>1.0769126234782262</v>
      </c>
      <c r="CV43" s="166">
        <f t="shared" si="21"/>
        <v>0.96970727627004305</v>
      </c>
      <c r="CW43" s="166">
        <f t="shared" si="21"/>
        <v>0.99066836241741285</v>
      </c>
      <c r="CX43" s="166">
        <f t="shared" si="21"/>
        <v>1.0046944645951732</v>
      </c>
      <c r="CY43" s="166">
        <f t="shared" si="21"/>
        <v>1.0229896119876185</v>
      </c>
      <c r="CZ43" s="166">
        <f t="shared" si="21"/>
        <v>0.98984993550104849</v>
      </c>
      <c r="DA43" s="166">
        <f t="shared" si="21"/>
        <v>1.0041981855651081</v>
      </c>
      <c r="DB43" s="166">
        <f t="shared" si="21"/>
        <v>1.0105257331792088</v>
      </c>
      <c r="DC43" s="166">
        <f t="shared" si="21"/>
        <v>1.0018397497842275</v>
      </c>
      <c r="DD43" s="166">
        <f t="shared" si="21"/>
        <v>1.0096520726670444</v>
      </c>
      <c r="DE43" s="166">
        <f t="shared" si="21"/>
        <v>0.99186834031645343</v>
      </c>
      <c r="DF43" s="166">
        <f t="shared" si="21"/>
        <v>0.99882041993795934</v>
      </c>
      <c r="DG43" s="166">
        <f t="shared" si="21"/>
        <v>1.0417631361654403</v>
      </c>
      <c r="DH43" s="166">
        <f t="shared" si="21"/>
        <v>0.97705919206585012</v>
      </c>
      <c r="DI43" s="166">
        <f t="shared" si="21"/>
        <v>1.0141829629181238</v>
      </c>
      <c r="DJ43" s="166">
        <f t="shared" si="21"/>
        <v>0.99960862917263993</v>
      </c>
      <c r="DK43" s="166">
        <f t="shared" si="21"/>
        <v>1.0387404914202527</v>
      </c>
      <c r="DL43" s="166">
        <f t="shared" si="21"/>
        <v>0.98029668995139163</v>
      </c>
      <c r="DM43" s="166">
        <f t="shared" si="21"/>
        <v>0.99427935424769343</v>
      </c>
      <c r="DN43" s="166">
        <f t="shared" si="21"/>
        <v>1.0040844294491127</v>
      </c>
      <c r="DO43" s="166">
        <f t="shared" si="21"/>
        <v>1.0090349265246354</v>
      </c>
      <c r="DP43" s="167">
        <f t="shared" si="19"/>
        <v>4.5440937200365017E-3</v>
      </c>
      <c r="DQ43" s="167"/>
    </row>
    <row r="44" spans="2:121" s="171" customFormat="1" x14ac:dyDescent="0.3">
      <c r="C44" s="172" t="str">
        <f>+B14</f>
        <v>Depósitos menores al monto de la cobertura</v>
      </c>
      <c r="D44" s="173"/>
      <c r="E44" s="173"/>
      <c r="F44" s="173"/>
      <c r="G44" s="173"/>
      <c r="H44" s="173"/>
      <c r="I44" s="173"/>
      <c r="J44" s="173"/>
      <c r="K44" s="173"/>
      <c r="L44" s="173"/>
      <c r="M44" s="173"/>
      <c r="N44" s="173"/>
      <c r="O44" s="173"/>
      <c r="P44" s="173"/>
      <c r="Q44" s="173"/>
      <c r="R44" s="173"/>
      <c r="S44" s="173">
        <f t="shared" ref="S44:CD45" si="22">+S14/R14</f>
        <v>1.0596330619927734</v>
      </c>
      <c r="T44" s="173">
        <f t="shared" si="22"/>
        <v>0.98585719832982055</v>
      </c>
      <c r="U44" s="173">
        <f t="shared" si="22"/>
        <v>0.98885561984004811</v>
      </c>
      <c r="V44" s="173">
        <f t="shared" si="22"/>
        <v>0.99994374620171134</v>
      </c>
      <c r="W44" s="173">
        <f t="shared" si="22"/>
        <v>1.0166772734918643</v>
      </c>
      <c r="X44" s="173">
        <f t="shared" si="22"/>
        <v>0.98028307396834868</v>
      </c>
      <c r="Y44" s="173">
        <f t="shared" si="22"/>
        <v>1.0076836328740111</v>
      </c>
      <c r="Z44" s="173">
        <f t="shared" si="22"/>
        <v>1.0011220085301624</v>
      </c>
      <c r="AA44" s="173">
        <f t="shared" si="22"/>
        <v>1.0609047963675968</v>
      </c>
      <c r="AB44" s="173">
        <f t="shared" si="22"/>
        <v>0.96690719614057696</v>
      </c>
      <c r="AC44" s="173">
        <f t="shared" si="22"/>
        <v>0.99771269804592322</v>
      </c>
      <c r="AD44" s="173">
        <f t="shared" si="22"/>
        <v>0.99495886037408721</v>
      </c>
      <c r="AE44" s="173">
        <f t="shared" si="22"/>
        <v>1.0319129839718835</v>
      </c>
      <c r="AF44" s="173">
        <f t="shared" si="22"/>
        <v>0.98223357723294502</v>
      </c>
      <c r="AG44" s="173">
        <f t="shared" si="22"/>
        <v>0.98214555371471468</v>
      </c>
      <c r="AH44" s="173">
        <f t="shared" si="22"/>
        <v>0.964196409140052</v>
      </c>
      <c r="AI44" s="173">
        <f t="shared" si="22"/>
        <v>1.0167990393905622</v>
      </c>
      <c r="AJ44" s="173">
        <f t="shared" si="22"/>
        <v>0.99156808394404861</v>
      </c>
      <c r="AK44" s="173">
        <f t="shared" si="22"/>
        <v>0.99100133501011212</v>
      </c>
      <c r="AL44" s="173">
        <f t="shared" si="22"/>
        <v>0.98400665249151131</v>
      </c>
      <c r="AM44" s="173">
        <f t="shared" si="22"/>
        <v>1.0357688095319237</v>
      </c>
      <c r="AN44" s="173">
        <f t="shared" si="22"/>
        <v>0.97105219493369777</v>
      </c>
      <c r="AO44" s="173">
        <f t="shared" si="22"/>
        <v>0.98869489061833393</v>
      </c>
      <c r="AP44" s="173">
        <f t="shared" si="22"/>
        <v>0.99976308824975757</v>
      </c>
      <c r="AQ44" s="173">
        <f t="shared" si="22"/>
        <v>1.0374901584555045</v>
      </c>
      <c r="AR44" s="173">
        <f t="shared" si="22"/>
        <v>0.96772566267721138</v>
      </c>
      <c r="AS44" s="173">
        <f t="shared" si="22"/>
        <v>1.0108636017764194</v>
      </c>
      <c r="AT44" s="173">
        <f t="shared" si="22"/>
        <v>0.96686775217259346</v>
      </c>
      <c r="AU44" s="173">
        <f t="shared" si="22"/>
        <v>0.99672497329755794</v>
      </c>
      <c r="AV44" s="173">
        <f t="shared" si="22"/>
        <v>1.0091542000645821</v>
      </c>
      <c r="AW44" s="173">
        <f t="shared" si="22"/>
        <v>1.0041704816125081</v>
      </c>
      <c r="AX44" s="173">
        <f t="shared" si="22"/>
        <v>0.99886386153552054</v>
      </c>
      <c r="AY44" s="173">
        <f t="shared" si="22"/>
        <v>1.0650743289023832</v>
      </c>
      <c r="AZ44" s="173">
        <f t="shared" si="22"/>
        <v>0.96251590321839964</v>
      </c>
      <c r="BA44" s="173">
        <f t="shared" si="22"/>
        <v>1.0220108997444064</v>
      </c>
      <c r="BB44" s="173">
        <f t="shared" si="22"/>
        <v>0.99517625758086126</v>
      </c>
      <c r="BC44" s="173">
        <f t="shared" si="22"/>
        <v>1.0362101766594571</v>
      </c>
      <c r="BD44" s="173">
        <f t="shared" si="22"/>
        <v>0.96845490854508998</v>
      </c>
      <c r="BE44" s="173">
        <f t="shared" si="22"/>
        <v>1.0087588970327135</v>
      </c>
      <c r="BF44" s="173">
        <f t="shared" si="22"/>
        <v>0.986124579064801</v>
      </c>
      <c r="BG44" s="173">
        <f t="shared" si="22"/>
        <v>1.0090197422524871</v>
      </c>
      <c r="BH44" s="173">
        <f t="shared" si="22"/>
        <v>0.99870063316801705</v>
      </c>
      <c r="BI44" s="173">
        <f t="shared" si="22"/>
        <v>0.98633378375363046</v>
      </c>
      <c r="BJ44" s="173">
        <f t="shared" si="22"/>
        <v>0.99501689576229357</v>
      </c>
      <c r="BK44" s="173">
        <f t="shared" si="22"/>
        <v>1.074426647199022</v>
      </c>
      <c r="BL44" s="173">
        <f t="shared" si="22"/>
        <v>0.96079232637329703</v>
      </c>
      <c r="BM44" s="173">
        <f t="shared" si="22"/>
        <v>1.0015050887084684</v>
      </c>
      <c r="BN44" s="173">
        <f t="shared" si="22"/>
        <v>1.0153052295972806</v>
      </c>
      <c r="BO44" s="173">
        <f t="shared" si="22"/>
        <v>1.0443815968724983</v>
      </c>
      <c r="BP44" s="173">
        <f t="shared" si="22"/>
        <v>0.96961736550571709</v>
      </c>
      <c r="BQ44" s="173">
        <f t="shared" si="22"/>
        <v>1.0050950658222766</v>
      </c>
      <c r="BR44" s="173">
        <f t="shared" si="22"/>
        <v>0.98364831289601529</v>
      </c>
      <c r="BS44" s="173">
        <f t="shared" si="22"/>
        <v>1.0014919340772919</v>
      </c>
      <c r="BT44" s="173">
        <f t="shared" si="22"/>
        <v>0.99882016973793952</v>
      </c>
      <c r="BU44" s="173">
        <f t="shared" si="22"/>
        <v>0.98806851221813086</v>
      </c>
      <c r="BV44" s="173">
        <f t="shared" si="22"/>
        <v>0.99001843749180507</v>
      </c>
      <c r="BW44" s="173">
        <f t="shared" si="22"/>
        <v>1.0678506310091789</v>
      </c>
      <c r="BX44" s="173">
        <f t="shared" si="22"/>
        <v>0.96226133660397406</v>
      </c>
      <c r="BY44" s="173">
        <f t="shared" si="22"/>
        <v>0.99492934004736155</v>
      </c>
      <c r="BZ44" s="173">
        <f t="shared" si="22"/>
        <v>0.99542242386515734</v>
      </c>
      <c r="CA44" s="173">
        <f t="shared" si="22"/>
        <v>1.0359790722006024</v>
      </c>
      <c r="CB44" s="173">
        <f t="shared" si="22"/>
        <v>0.9896924559542154</v>
      </c>
      <c r="CC44" s="173">
        <f t="shared" si="22"/>
        <v>0.99128488547414695</v>
      </c>
      <c r="CD44" s="173">
        <f t="shared" si="22"/>
        <v>0.99870934363550745</v>
      </c>
      <c r="CE44" s="173">
        <f t="shared" ref="CE44:DO45" si="23">+CE14/CD14</f>
        <v>1.0050809173404918</v>
      </c>
      <c r="CF44" s="173">
        <f t="shared" si="23"/>
        <v>0.96181550228773327</v>
      </c>
      <c r="CG44" s="173">
        <f t="shared" si="23"/>
        <v>1.0166856308294392</v>
      </c>
      <c r="CH44" s="173">
        <f t="shared" si="23"/>
        <v>0.99883345822021719</v>
      </c>
      <c r="CI44" s="173">
        <f t="shared" si="23"/>
        <v>1.0595467208082161</v>
      </c>
      <c r="CJ44" s="173">
        <f t="shared" si="23"/>
        <v>0.97594868927962419</v>
      </c>
      <c r="CK44" s="173">
        <f t="shared" si="23"/>
        <v>1.0027640989056861</v>
      </c>
      <c r="CL44" s="173">
        <f t="shared" si="23"/>
        <v>0.9872627272648552</v>
      </c>
      <c r="CM44" s="173">
        <f t="shared" si="23"/>
        <v>1.0566087415439478</v>
      </c>
      <c r="CN44" s="173">
        <f t="shared" si="23"/>
        <v>0.99686800073799642</v>
      </c>
      <c r="CO44" s="173">
        <f t="shared" si="23"/>
        <v>0.98636373085505669</v>
      </c>
      <c r="CP44" s="173">
        <f t="shared" si="23"/>
        <v>0.9990120679669342</v>
      </c>
      <c r="CQ44" s="173">
        <f t="shared" si="23"/>
        <v>0.99934799934716245</v>
      </c>
      <c r="CR44" s="173">
        <f t="shared" si="23"/>
        <v>0.99635972327478461</v>
      </c>
      <c r="CS44" s="173">
        <f t="shared" si="23"/>
        <v>1.0301632763751121</v>
      </c>
      <c r="CT44" s="173">
        <f t="shared" si="23"/>
        <v>0.96919760313405412</v>
      </c>
      <c r="CU44" s="173">
        <f t="shared" si="23"/>
        <v>1.0940288437160344</v>
      </c>
      <c r="CV44" s="173">
        <f t="shared" si="23"/>
        <v>0.96320726594210504</v>
      </c>
      <c r="CW44" s="173">
        <f t="shared" si="23"/>
        <v>0.98747609587506568</v>
      </c>
      <c r="CX44" s="173">
        <f t="shared" si="23"/>
        <v>1.0068509849569696</v>
      </c>
      <c r="CY44" s="173">
        <f t="shared" si="23"/>
        <v>1.0311759241548633</v>
      </c>
      <c r="CZ44" s="173">
        <f t="shared" si="23"/>
        <v>0.97855830328140936</v>
      </c>
      <c r="DA44" s="173">
        <f t="shared" si="23"/>
        <v>1.0045880411240158</v>
      </c>
      <c r="DB44" s="173">
        <f t="shared" si="23"/>
        <v>1.011551616304049</v>
      </c>
      <c r="DC44" s="173">
        <f t="shared" si="23"/>
        <v>1.0027613350544322</v>
      </c>
      <c r="DD44" s="173">
        <f t="shared" si="23"/>
        <v>1.0097775796121895</v>
      </c>
      <c r="DE44" s="173">
        <f t="shared" si="23"/>
        <v>0.99219995688607132</v>
      </c>
      <c r="DF44" s="173">
        <f t="shared" si="23"/>
        <v>0.99623468136252802</v>
      </c>
      <c r="DG44" s="173">
        <f t="shared" si="23"/>
        <v>1.0495751638061062</v>
      </c>
      <c r="DH44" s="173">
        <f t="shared" si="23"/>
        <v>0.97210067503640485</v>
      </c>
      <c r="DI44" s="173">
        <f t="shared" si="23"/>
        <v>1.018509750122045</v>
      </c>
      <c r="DJ44" s="173">
        <f t="shared" si="23"/>
        <v>0.99780234098302223</v>
      </c>
      <c r="DK44" s="173">
        <f t="shared" si="23"/>
        <v>1.0503789406137167</v>
      </c>
      <c r="DL44" s="173">
        <f t="shared" si="23"/>
        <v>0.97254916661614532</v>
      </c>
      <c r="DM44" s="173">
        <f t="shared" si="23"/>
        <v>0.99169347858847656</v>
      </c>
      <c r="DN44" s="173">
        <f t="shared" si="23"/>
        <v>1.0040099477659072</v>
      </c>
      <c r="DO44" s="173">
        <f t="shared" si="23"/>
        <v>1.0100274532798259</v>
      </c>
      <c r="DP44" s="167">
        <f t="shared" si="19"/>
        <v>4.9405621851694725E-3</v>
      </c>
      <c r="DQ44" s="167"/>
    </row>
    <row r="45" spans="2:121" s="171" customFormat="1" x14ac:dyDescent="0.3">
      <c r="C45" s="172" t="str">
        <f>+B15</f>
        <v>Depósitos mayores al monto de la cobertura</v>
      </c>
      <c r="D45" s="173"/>
      <c r="E45" s="173"/>
      <c r="F45" s="173"/>
      <c r="G45" s="173"/>
      <c r="H45" s="173"/>
      <c r="I45" s="173"/>
      <c r="J45" s="173"/>
      <c r="K45" s="173"/>
      <c r="L45" s="173"/>
      <c r="M45" s="173"/>
      <c r="N45" s="173"/>
      <c r="O45" s="173"/>
      <c r="P45" s="173"/>
      <c r="Q45" s="173"/>
      <c r="R45" s="173"/>
      <c r="S45" s="173">
        <f t="shared" si="22"/>
        <v>0.97058516097128067</v>
      </c>
      <c r="T45" s="173">
        <f t="shared" si="22"/>
        <v>1.0144964464956132</v>
      </c>
      <c r="U45" s="173">
        <f t="shared" si="22"/>
        <v>1.0205330012732095</v>
      </c>
      <c r="V45" s="173">
        <f t="shared" si="22"/>
        <v>1.0239291277579947</v>
      </c>
      <c r="W45" s="173">
        <f t="shared" si="22"/>
        <v>1.0107957256001827</v>
      </c>
      <c r="X45" s="173">
        <f t="shared" si="22"/>
        <v>1.0182213729620964</v>
      </c>
      <c r="Y45" s="173">
        <f t="shared" si="22"/>
        <v>0.99929644984365007</v>
      </c>
      <c r="Z45" s="173">
        <f t="shared" si="22"/>
        <v>1.0117640737591358</v>
      </c>
      <c r="AA45" s="173">
        <f t="shared" si="22"/>
        <v>1.0336064488431458</v>
      </c>
      <c r="AB45" s="173">
        <f t="shared" si="22"/>
        <v>0.97777635779117633</v>
      </c>
      <c r="AC45" s="173">
        <f t="shared" si="22"/>
        <v>1.0022427204342068</v>
      </c>
      <c r="AD45" s="173">
        <f t="shared" si="22"/>
        <v>1.0067906036056005</v>
      </c>
      <c r="AE45" s="173">
        <f t="shared" si="22"/>
        <v>0.9531971654990643</v>
      </c>
      <c r="AF45" s="173">
        <f t="shared" si="22"/>
        <v>1.0005724912730989</v>
      </c>
      <c r="AG45" s="173">
        <f t="shared" si="22"/>
        <v>0.9909896646566575</v>
      </c>
      <c r="AH45" s="173">
        <f t="shared" si="22"/>
        <v>0.97098428802772263</v>
      </c>
      <c r="AI45" s="173">
        <f t="shared" si="22"/>
        <v>1.0059111363725979</v>
      </c>
      <c r="AJ45" s="173">
        <f t="shared" si="22"/>
        <v>0.97783489366984766</v>
      </c>
      <c r="AK45" s="173">
        <f t="shared" si="22"/>
        <v>0.9885452769046893</v>
      </c>
      <c r="AL45" s="173">
        <f t="shared" si="22"/>
        <v>0.99417063779589232</v>
      </c>
      <c r="AM45" s="173">
        <f t="shared" si="22"/>
        <v>0.99565884899137125</v>
      </c>
      <c r="AN45" s="173">
        <f t="shared" si="22"/>
        <v>1.0283170642111903</v>
      </c>
      <c r="AO45" s="173">
        <f t="shared" si="22"/>
        <v>1.0266032284445068</v>
      </c>
      <c r="AP45" s="173">
        <f t="shared" si="22"/>
        <v>1.0403344066468738</v>
      </c>
      <c r="AQ45" s="173">
        <f t="shared" si="22"/>
        <v>0.96762300485368624</v>
      </c>
      <c r="AR45" s="173">
        <f t="shared" si="22"/>
        <v>1.0009850316668305</v>
      </c>
      <c r="AS45" s="173">
        <f t="shared" si="22"/>
        <v>1.0227940367864707</v>
      </c>
      <c r="AT45" s="173">
        <f t="shared" si="22"/>
        <v>0.97792448722610592</v>
      </c>
      <c r="AU45" s="173">
        <f t="shared" si="22"/>
        <v>1.0319537064008184</v>
      </c>
      <c r="AV45" s="173">
        <f t="shared" si="22"/>
        <v>1.0211028769660977</v>
      </c>
      <c r="AW45" s="173">
        <f t="shared" si="22"/>
        <v>1.0041071043155516</v>
      </c>
      <c r="AX45" s="173">
        <f t="shared" si="22"/>
        <v>1.0113574891585781</v>
      </c>
      <c r="AY45" s="173">
        <f t="shared" si="22"/>
        <v>1.0525134535234304</v>
      </c>
      <c r="AZ45" s="173">
        <f t="shared" si="22"/>
        <v>0.98204965155684831</v>
      </c>
      <c r="BA45" s="173">
        <f t="shared" si="22"/>
        <v>1.0078598893293689</v>
      </c>
      <c r="BB45" s="173">
        <f t="shared" si="22"/>
        <v>1.0395908888644674</v>
      </c>
      <c r="BC45" s="173">
        <f t="shared" si="22"/>
        <v>0.96732044728598365</v>
      </c>
      <c r="BD45" s="173">
        <f t="shared" si="22"/>
        <v>0.9912704166001588</v>
      </c>
      <c r="BE45" s="173">
        <f t="shared" si="22"/>
        <v>1.0148565644615344</v>
      </c>
      <c r="BF45" s="173">
        <f t="shared" si="22"/>
        <v>0.99165168314383845</v>
      </c>
      <c r="BG45" s="173">
        <f t="shared" si="22"/>
        <v>0.99416932395262669</v>
      </c>
      <c r="BH45" s="173">
        <f t="shared" si="22"/>
        <v>0.99118067720330993</v>
      </c>
      <c r="BI45" s="173">
        <f t="shared" si="22"/>
        <v>1.0166544240827697</v>
      </c>
      <c r="BJ45" s="173">
        <f t="shared" si="22"/>
        <v>1.027774268122216</v>
      </c>
      <c r="BK45" s="173">
        <f t="shared" si="22"/>
        <v>1.0196315466356891</v>
      </c>
      <c r="BL45" s="173">
        <f t="shared" si="22"/>
        <v>0.99261078127681779</v>
      </c>
      <c r="BM45" s="173">
        <f t="shared" si="22"/>
        <v>1.0096441079012</v>
      </c>
      <c r="BN45" s="173">
        <f t="shared" si="22"/>
        <v>1.0177387797119952</v>
      </c>
      <c r="BO45" s="173">
        <f t="shared" si="22"/>
        <v>0.9635796479498655</v>
      </c>
      <c r="BP45" s="173">
        <f t="shared" si="22"/>
        <v>1.0054567880617487</v>
      </c>
      <c r="BQ45" s="173">
        <f t="shared" si="22"/>
        <v>1.0020932921403725</v>
      </c>
      <c r="BR45" s="173">
        <f t="shared" si="22"/>
        <v>1.0093496645913962</v>
      </c>
      <c r="BS45" s="173">
        <f t="shared" si="22"/>
        <v>1.0024233144385959</v>
      </c>
      <c r="BT45" s="173">
        <f t="shared" si="22"/>
        <v>0.99122554661149631</v>
      </c>
      <c r="BU45" s="173">
        <f t="shared" si="22"/>
        <v>0.99928915175884447</v>
      </c>
      <c r="BV45" s="173">
        <f t="shared" si="22"/>
        <v>1.0196487946368284</v>
      </c>
      <c r="BW45" s="173">
        <f t="shared" si="22"/>
        <v>1.004457478799498</v>
      </c>
      <c r="BX45" s="173">
        <f t="shared" si="22"/>
        <v>1.0010277419428353</v>
      </c>
      <c r="BY45" s="173">
        <f t="shared" si="22"/>
        <v>1.0184580107030035</v>
      </c>
      <c r="BZ45" s="173">
        <f t="shared" si="22"/>
        <v>1.0105369959957289</v>
      </c>
      <c r="CA45" s="173">
        <f t="shared" si="22"/>
        <v>0.9973098654278687</v>
      </c>
      <c r="CB45" s="173">
        <f t="shared" si="22"/>
        <v>0.99396530529419647</v>
      </c>
      <c r="CC45" s="173">
        <f t="shared" si="22"/>
        <v>1.0092359904260504</v>
      </c>
      <c r="CD45" s="173">
        <f t="shared" si="22"/>
        <v>1.015991981991307</v>
      </c>
      <c r="CE45" s="173">
        <f t="shared" si="23"/>
        <v>1.0035401035067444</v>
      </c>
      <c r="CF45" s="173">
        <f t="shared" si="23"/>
        <v>1.0110546347364311</v>
      </c>
      <c r="CG45" s="173">
        <f t="shared" si="23"/>
        <v>0.99633699369858264</v>
      </c>
      <c r="CH45" s="173">
        <f t="shared" si="23"/>
        <v>1.0065563178697521</v>
      </c>
      <c r="CI45" s="173">
        <f t="shared" si="23"/>
        <v>1.0444541383710353</v>
      </c>
      <c r="CJ45" s="173">
        <f t="shared" si="23"/>
        <v>1.0000697560291432</v>
      </c>
      <c r="CK45" s="173">
        <f t="shared" si="23"/>
        <v>1.0167211002510561</v>
      </c>
      <c r="CL45" s="173">
        <f t="shared" si="23"/>
        <v>0.97635472909438714</v>
      </c>
      <c r="CM45" s="173">
        <f t="shared" si="23"/>
        <v>0.97502786350258064</v>
      </c>
      <c r="CN45" s="173">
        <f t="shared" si="23"/>
        <v>1.0100712483476606</v>
      </c>
      <c r="CO45" s="173">
        <f t="shared" si="23"/>
        <v>1.0189654604964584</v>
      </c>
      <c r="CP45" s="173">
        <f t="shared" si="23"/>
        <v>1.0121080414382027</v>
      </c>
      <c r="CQ45" s="173">
        <f t="shared" si="23"/>
        <v>1.0136636200009965</v>
      </c>
      <c r="CR45" s="173">
        <f t="shared" si="23"/>
        <v>1.0194243807720738</v>
      </c>
      <c r="CS45" s="173">
        <f t="shared" si="23"/>
        <v>1.0289815885916049</v>
      </c>
      <c r="CT45" s="173">
        <f t="shared" si="23"/>
        <v>1.0085507643753393</v>
      </c>
      <c r="CU45" s="173">
        <f t="shared" si="23"/>
        <v>1.0397367712152281</v>
      </c>
      <c r="CV45" s="173">
        <f t="shared" si="23"/>
        <v>0.99625285982244505</v>
      </c>
      <c r="CW45" s="173">
        <f t="shared" si="23"/>
        <v>1.0001161642847456</v>
      </c>
      <c r="CX45" s="173">
        <f t="shared" si="23"/>
        <v>1.0253338593443604</v>
      </c>
      <c r="CY45" s="173">
        <f t="shared" si="23"/>
        <v>0.9805109168185665</v>
      </c>
      <c r="CZ45" s="173">
        <f t="shared" si="23"/>
        <v>1.0149057562884354</v>
      </c>
      <c r="DA45" s="173">
        <f t="shared" si="23"/>
        <v>1.0086598538095841</v>
      </c>
      <c r="DB45" s="173">
        <f t="shared" si="23"/>
        <v>1.0057431449123131</v>
      </c>
      <c r="DC45" s="173">
        <f t="shared" si="23"/>
        <v>1.0095633788850593</v>
      </c>
      <c r="DD45" s="173">
        <f t="shared" si="23"/>
        <v>1.0123154078761383</v>
      </c>
      <c r="DE45" s="173">
        <f t="shared" si="23"/>
        <v>1.012972410710665</v>
      </c>
      <c r="DF45" s="173">
        <f t="shared" si="23"/>
        <v>1.010773760461932</v>
      </c>
      <c r="DG45" s="173">
        <f t="shared" si="23"/>
        <v>1.0366930866243071</v>
      </c>
      <c r="DH45" s="173">
        <f t="shared" si="23"/>
        <v>0.98503023128566347</v>
      </c>
      <c r="DI45" s="173">
        <f t="shared" si="23"/>
        <v>1.0139836276837946</v>
      </c>
      <c r="DJ45" s="173">
        <f t="shared" si="23"/>
        <v>1.0221344756377453</v>
      </c>
      <c r="DK45" s="173">
        <f t="shared" si="23"/>
        <v>0.9635340769752242</v>
      </c>
      <c r="DL45" s="173">
        <f t="shared" si="23"/>
        <v>1.0068087406820279</v>
      </c>
      <c r="DM45" s="173">
        <f t="shared" si="23"/>
        <v>1.0004339410248224</v>
      </c>
      <c r="DN45" s="173">
        <f t="shared" si="23"/>
        <v>1.0014810366987301</v>
      </c>
      <c r="DO45" s="173">
        <f t="shared" si="23"/>
        <v>1.0193723320090582</v>
      </c>
      <c r="DP45" s="167">
        <f t="shared" si="19"/>
        <v>7.1667252409788329E-3</v>
      </c>
      <c r="DQ45" s="167"/>
    </row>
    <row r="46" spans="2:121" s="170" customFormat="1" x14ac:dyDescent="0.3">
      <c r="C46" s="169" t="str">
        <f>+B19</f>
        <v>Número de clientes (en número)</v>
      </c>
      <c r="D46" s="166"/>
      <c r="E46" s="166"/>
      <c r="F46" s="166"/>
      <c r="G46" s="166"/>
      <c r="H46" s="166"/>
      <c r="I46" s="166"/>
      <c r="J46" s="166"/>
      <c r="K46" s="166"/>
      <c r="L46" s="166"/>
      <c r="M46" s="166"/>
      <c r="N46" s="166"/>
      <c r="O46" s="166"/>
      <c r="P46" s="166"/>
      <c r="Q46" s="166"/>
      <c r="R46" s="166"/>
      <c r="S46" s="166">
        <f t="shared" ref="S46:CD48" si="24">+S19/R19</f>
        <v>1.0125419377383313</v>
      </c>
      <c r="T46" s="166">
        <f t="shared" si="24"/>
        <v>1.0078284543299303</v>
      </c>
      <c r="U46" s="166">
        <f t="shared" si="24"/>
        <v>1.0028976927456286</v>
      </c>
      <c r="V46" s="166">
        <f t="shared" si="24"/>
        <v>1.0108399949483247</v>
      </c>
      <c r="W46" s="166">
        <f t="shared" si="24"/>
        <v>1.0058657203867412</v>
      </c>
      <c r="X46" s="166">
        <f t="shared" si="24"/>
        <v>1.0050794937503269</v>
      </c>
      <c r="Y46" s="166">
        <f t="shared" si="24"/>
        <v>1.0066727030917566</v>
      </c>
      <c r="Z46" s="166">
        <f t="shared" si="24"/>
        <v>1.0052551927064577</v>
      </c>
      <c r="AA46" s="166">
        <f t="shared" si="24"/>
        <v>1.0128129375837673</v>
      </c>
      <c r="AB46" s="166">
        <f t="shared" si="24"/>
        <v>0.99342825056215645</v>
      </c>
      <c r="AC46" s="166">
        <f t="shared" si="24"/>
        <v>0.99649587174758347</v>
      </c>
      <c r="AD46" s="166">
        <f t="shared" si="24"/>
        <v>0.99272361208627835</v>
      </c>
      <c r="AE46" s="166">
        <f t="shared" si="24"/>
        <v>1.0320077018780465</v>
      </c>
      <c r="AF46" s="166">
        <f t="shared" si="24"/>
        <v>1.0029842576975956</v>
      </c>
      <c r="AG46" s="166">
        <f t="shared" si="24"/>
        <v>0.99630302256198189</v>
      </c>
      <c r="AH46" s="166">
        <f t="shared" si="24"/>
        <v>0.9836097936091619</v>
      </c>
      <c r="AI46" s="166">
        <f t="shared" si="24"/>
        <v>1.0261709239678849</v>
      </c>
      <c r="AJ46" s="166">
        <f t="shared" si="24"/>
        <v>1.0246391952636498</v>
      </c>
      <c r="AK46" s="166">
        <f t="shared" si="24"/>
        <v>0.99228893051784139</v>
      </c>
      <c r="AL46" s="166">
        <f t="shared" si="24"/>
        <v>1.0086871974148859</v>
      </c>
      <c r="AM46" s="166">
        <f t="shared" si="24"/>
        <v>1</v>
      </c>
      <c r="AN46" s="166">
        <f t="shared" si="24"/>
        <v>1.0064210273070622</v>
      </c>
      <c r="AO46" s="166">
        <f t="shared" si="24"/>
        <v>1.0027697720197244</v>
      </c>
      <c r="AP46" s="166">
        <f t="shared" si="24"/>
        <v>0.9968590028790546</v>
      </c>
      <c r="AQ46" s="166">
        <f t="shared" si="24"/>
        <v>1.0046942730838857</v>
      </c>
      <c r="AR46" s="166">
        <f t="shared" si="24"/>
        <v>0.97493467365227027</v>
      </c>
      <c r="AS46" s="166">
        <f t="shared" si="24"/>
        <v>1.0365501684748792</v>
      </c>
      <c r="AT46" s="166">
        <f t="shared" si="24"/>
        <v>0.97797633457004196</v>
      </c>
      <c r="AU46" s="166">
        <f t="shared" si="24"/>
        <v>1.0032593111337558</v>
      </c>
      <c r="AV46" s="166">
        <f t="shared" si="24"/>
        <v>1.0065136463289013</v>
      </c>
      <c r="AW46" s="166">
        <f t="shared" si="24"/>
        <v>1.0062105841787017</v>
      </c>
      <c r="AX46" s="166">
        <f t="shared" si="24"/>
        <v>1.0041387423885888</v>
      </c>
      <c r="AY46" s="166">
        <f t="shared" si="24"/>
        <v>1.0014437971803367</v>
      </c>
      <c r="AZ46" s="166">
        <f t="shared" si="24"/>
        <v>0.98946308205655653</v>
      </c>
      <c r="BA46" s="166">
        <f t="shared" si="24"/>
        <v>1.0068339104618391</v>
      </c>
      <c r="BB46" s="166">
        <f t="shared" si="24"/>
        <v>1.0038853399414136</v>
      </c>
      <c r="BC46" s="166">
        <f t="shared" si="24"/>
        <v>0.99886730207260332</v>
      </c>
      <c r="BD46" s="166">
        <f t="shared" si="24"/>
        <v>0.9934988826188238</v>
      </c>
      <c r="BE46" s="166">
        <f t="shared" si="24"/>
        <v>0.99536178749018367</v>
      </c>
      <c r="BF46" s="166">
        <f t="shared" si="24"/>
        <v>1.0055429960575726</v>
      </c>
      <c r="BG46" s="166">
        <f t="shared" si="24"/>
        <v>1.007625138127648</v>
      </c>
      <c r="BH46" s="166">
        <f t="shared" si="24"/>
        <v>1.0584817282190817</v>
      </c>
      <c r="BI46" s="166">
        <f t="shared" si="24"/>
        <v>1.010362642433583</v>
      </c>
      <c r="BJ46" s="166">
        <f t="shared" si="24"/>
        <v>1.0031144986205056</v>
      </c>
      <c r="BK46" s="166">
        <f t="shared" si="24"/>
        <v>1.0033252187924246</v>
      </c>
      <c r="BL46" s="166">
        <f t="shared" si="24"/>
        <v>0.99360602925450803</v>
      </c>
      <c r="BM46" s="166">
        <f t="shared" si="24"/>
        <v>0.99217443341959655</v>
      </c>
      <c r="BN46" s="166">
        <f t="shared" si="24"/>
        <v>1.004790955903293</v>
      </c>
      <c r="BO46" s="166">
        <f t="shared" si="24"/>
        <v>1.0103102215294613</v>
      </c>
      <c r="BP46" s="166">
        <f t="shared" si="24"/>
        <v>1.0044791314770614</v>
      </c>
      <c r="BQ46" s="166">
        <f t="shared" si="24"/>
        <v>1.0013096365381777</v>
      </c>
      <c r="BR46" s="166">
        <f t="shared" si="24"/>
        <v>1.0053021676573815</v>
      </c>
      <c r="BS46" s="166">
        <f t="shared" si="24"/>
        <v>1.0000308064802719</v>
      </c>
      <c r="BT46" s="166">
        <f t="shared" si="24"/>
        <v>1.0174582480140923</v>
      </c>
      <c r="BU46" s="166">
        <f t="shared" si="24"/>
        <v>1.0101710863200497</v>
      </c>
      <c r="BV46" s="166">
        <f t="shared" si="24"/>
        <v>1.0048616045243581</v>
      </c>
      <c r="BW46" s="166">
        <f t="shared" si="24"/>
        <v>1.0081552626672567</v>
      </c>
      <c r="BX46" s="166">
        <f t="shared" si="24"/>
        <v>0.99859874997652831</v>
      </c>
      <c r="BY46" s="166">
        <f t="shared" si="24"/>
        <v>1.0029353068496822</v>
      </c>
      <c r="BZ46" s="166">
        <f t="shared" si="24"/>
        <v>1.002258531064931</v>
      </c>
      <c r="CA46" s="166">
        <f t="shared" si="24"/>
        <v>1.0127248502640755</v>
      </c>
      <c r="CB46" s="166">
        <f t="shared" si="24"/>
        <v>1.0041212833528048</v>
      </c>
      <c r="CC46" s="166">
        <f t="shared" si="24"/>
        <v>1.007842798726954</v>
      </c>
      <c r="CD46" s="166">
        <f t="shared" si="24"/>
        <v>1.007262152356865</v>
      </c>
      <c r="CE46" s="166">
        <f t="shared" ref="CE46:DO48" si="25">+CE19/CD19</f>
        <v>1.0171075701331527</v>
      </c>
      <c r="CF46" s="166">
        <f t="shared" si="25"/>
        <v>0.99943996783725908</v>
      </c>
      <c r="CG46" s="166">
        <f t="shared" si="25"/>
        <v>1.0090976221122052</v>
      </c>
      <c r="CH46" s="166">
        <f t="shared" si="25"/>
        <v>1.0054101537304709</v>
      </c>
      <c r="CI46" s="166">
        <f t="shared" si="25"/>
        <v>1.0086937636040936</v>
      </c>
      <c r="CJ46" s="166">
        <f t="shared" si="25"/>
        <v>0.96547886722931442</v>
      </c>
      <c r="CK46" s="166">
        <f t="shared" si="25"/>
        <v>0.98686251732987595</v>
      </c>
      <c r="CL46" s="166">
        <f t="shared" si="25"/>
        <v>0.99186949600239072</v>
      </c>
      <c r="CM46" s="166">
        <f t="shared" si="25"/>
        <v>1.0017167533240179</v>
      </c>
      <c r="CN46" s="166">
        <f t="shared" si="25"/>
        <v>1.005521552292467</v>
      </c>
      <c r="CO46" s="166">
        <f t="shared" si="25"/>
        <v>1.0033170373607665</v>
      </c>
      <c r="CP46" s="166">
        <f t="shared" si="25"/>
        <v>1.0088092201302357</v>
      </c>
      <c r="CQ46" s="166">
        <f t="shared" si="25"/>
        <v>1.0067625350969662</v>
      </c>
      <c r="CR46" s="166">
        <f t="shared" si="25"/>
        <v>1.0076591527242973</v>
      </c>
      <c r="CS46" s="166">
        <f t="shared" si="25"/>
        <v>1.0119310023413777</v>
      </c>
      <c r="CT46" s="166">
        <f t="shared" si="25"/>
        <v>1.0044305559135074</v>
      </c>
      <c r="CU46" s="166">
        <f t="shared" si="25"/>
        <v>1.0132633154670769</v>
      </c>
      <c r="CV46" s="166">
        <f t="shared" si="25"/>
        <v>1.0009726557376053</v>
      </c>
      <c r="CW46" s="166">
        <f t="shared" si="25"/>
        <v>0.99931525730682436</v>
      </c>
      <c r="CX46" s="166">
        <f t="shared" si="25"/>
        <v>1.0054919901515136</v>
      </c>
      <c r="CY46" s="166">
        <f t="shared" si="25"/>
        <v>1.0090256911394979</v>
      </c>
      <c r="CZ46" s="166">
        <f t="shared" si="25"/>
        <v>1.0095001437248148</v>
      </c>
      <c r="DA46" s="166">
        <f t="shared" si="25"/>
        <v>1.0092279963180952</v>
      </c>
      <c r="DB46" s="166">
        <f t="shared" si="25"/>
        <v>1.0104637054605534</v>
      </c>
      <c r="DC46" s="166">
        <f t="shared" si="25"/>
        <v>1.0099053353014413</v>
      </c>
      <c r="DD46" s="166">
        <f t="shared" si="25"/>
        <v>1.0025390456874623</v>
      </c>
      <c r="DE46" s="166">
        <f t="shared" si="25"/>
        <v>1.0102330009232579</v>
      </c>
      <c r="DF46" s="166">
        <f t="shared" si="25"/>
        <v>1.0039953563786641</v>
      </c>
      <c r="DG46" s="166">
        <f t="shared" si="25"/>
        <v>1.0139059526087351</v>
      </c>
      <c r="DH46" s="166">
        <f t="shared" si="25"/>
        <v>0.99175931616291413</v>
      </c>
      <c r="DI46" s="166">
        <f t="shared" si="25"/>
        <v>1.0005619243444217</v>
      </c>
      <c r="DJ46" s="166">
        <f t="shared" si="25"/>
        <v>1.0058408249690223</v>
      </c>
      <c r="DK46" s="166">
        <f t="shared" si="25"/>
        <v>1.0094941629280236</v>
      </c>
      <c r="DL46" s="166">
        <f t="shared" si="25"/>
        <v>1.0072209803267274</v>
      </c>
      <c r="DM46" s="166">
        <f t="shared" si="25"/>
        <v>1.0029580595960927</v>
      </c>
      <c r="DN46" s="166">
        <f t="shared" si="25"/>
        <v>1.0105228635996466</v>
      </c>
      <c r="DO46" s="166">
        <f t="shared" si="25"/>
        <v>1.0091375200425241</v>
      </c>
      <c r="DP46" s="167">
        <f t="shared" si="19"/>
        <v>5.9904684354730175E-3</v>
      </c>
      <c r="DQ46" s="167"/>
    </row>
    <row r="47" spans="2:121" s="170" customFormat="1" ht="28.8" x14ac:dyDescent="0.3">
      <c r="C47" s="169" t="str">
        <f>+B20</f>
        <v>Con depósitos menores al monto de la cobertura</v>
      </c>
      <c r="D47" s="166"/>
      <c r="E47" s="166"/>
      <c r="F47" s="166"/>
      <c r="G47" s="166"/>
      <c r="H47" s="166"/>
      <c r="I47" s="166"/>
      <c r="J47" s="166"/>
      <c r="K47" s="166"/>
      <c r="L47" s="166"/>
      <c r="M47" s="166"/>
      <c r="N47" s="166"/>
      <c r="O47" s="166"/>
      <c r="P47" s="166"/>
      <c r="Q47" s="166"/>
      <c r="R47" s="166"/>
      <c r="S47" s="166">
        <f t="shared" si="24"/>
        <v>1.0124850493370368</v>
      </c>
      <c r="T47" s="166">
        <f t="shared" si="24"/>
        <v>1.0077898559586551</v>
      </c>
      <c r="U47" s="166">
        <f t="shared" si="24"/>
        <v>1.0027967125161144</v>
      </c>
      <c r="V47" s="166">
        <f t="shared" si="24"/>
        <v>1.0109112683502381</v>
      </c>
      <c r="W47" s="166">
        <f t="shared" si="24"/>
        <v>1.0058100506986776</v>
      </c>
      <c r="X47" s="166">
        <f t="shared" si="24"/>
        <v>1.0051537892955098</v>
      </c>
      <c r="Y47" s="166">
        <f t="shared" si="24"/>
        <v>1.0066191245465315</v>
      </c>
      <c r="Z47" s="166">
        <f t="shared" si="24"/>
        <v>1.0051665181349125</v>
      </c>
      <c r="AA47" s="166">
        <f t="shared" si="24"/>
        <v>1.0125809319746717</v>
      </c>
      <c r="AB47" s="166">
        <f t="shared" si="24"/>
        <v>0.99356946862400153</v>
      </c>
      <c r="AC47" s="166">
        <f t="shared" si="24"/>
        <v>0.9964805162560092</v>
      </c>
      <c r="AD47" s="166">
        <f t="shared" si="24"/>
        <v>0.9926950925694058</v>
      </c>
      <c r="AE47" s="166">
        <f t="shared" si="24"/>
        <v>1.0325991917138626</v>
      </c>
      <c r="AF47" s="166">
        <f t="shared" si="24"/>
        <v>1.0029365484241091</v>
      </c>
      <c r="AG47" s="166">
        <f t="shared" si="24"/>
        <v>0.99642438476544215</v>
      </c>
      <c r="AH47" s="166">
        <f t="shared" si="24"/>
        <v>0.9839801670539513</v>
      </c>
      <c r="AI47" s="166">
        <f t="shared" si="24"/>
        <v>1.0262189273371647</v>
      </c>
      <c r="AJ47" s="166">
        <f t="shared" si="24"/>
        <v>1.0250746820748158</v>
      </c>
      <c r="AK47" s="166">
        <f t="shared" si="24"/>
        <v>0.99241553596710907</v>
      </c>
      <c r="AL47" s="166">
        <f t="shared" si="24"/>
        <v>1.0087847716340301</v>
      </c>
      <c r="AM47" s="166">
        <f t="shared" si="24"/>
        <v>1</v>
      </c>
      <c r="AN47" s="166">
        <f t="shared" si="24"/>
        <v>1.0064481994784928</v>
      </c>
      <c r="AO47" s="166">
        <f t="shared" si="24"/>
        <v>1.0028517568228987</v>
      </c>
      <c r="AP47" s="166">
        <f t="shared" si="24"/>
        <v>0.99688649568786991</v>
      </c>
      <c r="AQ47" s="166">
        <f t="shared" si="24"/>
        <v>1.0047231181279563</v>
      </c>
      <c r="AR47" s="166">
        <f t="shared" si="24"/>
        <v>0.97515453139038744</v>
      </c>
      <c r="AS47" s="166">
        <f t="shared" si="24"/>
        <v>1.0363302636658578</v>
      </c>
      <c r="AT47" s="166">
        <f t="shared" si="24"/>
        <v>0.97810450447423303</v>
      </c>
      <c r="AU47" s="166">
        <f t="shared" si="24"/>
        <v>1.0032130242944099</v>
      </c>
      <c r="AV47" s="166">
        <f t="shared" si="24"/>
        <v>1.0064384270702011</v>
      </c>
      <c r="AW47" s="166">
        <f t="shared" si="24"/>
        <v>1.0061614067843736</v>
      </c>
      <c r="AX47" s="166">
        <f t="shared" si="24"/>
        <v>1.0040906935611891</v>
      </c>
      <c r="AY47" s="166">
        <f t="shared" si="24"/>
        <v>1.0010740236462015</v>
      </c>
      <c r="AZ47" s="166">
        <f t="shared" si="24"/>
        <v>0.98992289413908408</v>
      </c>
      <c r="BA47" s="166">
        <f t="shared" si="24"/>
        <v>1.0064074937930159</v>
      </c>
      <c r="BB47" s="166">
        <f t="shared" si="24"/>
        <v>1.0038381910989043</v>
      </c>
      <c r="BC47" s="166">
        <f t="shared" si="24"/>
        <v>0.99884281147613962</v>
      </c>
      <c r="BD47" s="166">
        <f t="shared" si="24"/>
        <v>0.99345517324631172</v>
      </c>
      <c r="BE47" s="166">
        <f t="shared" si="24"/>
        <v>0.99530018276360777</v>
      </c>
      <c r="BF47" s="166">
        <f t="shared" si="24"/>
        <v>1.0056605789879716</v>
      </c>
      <c r="BG47" s="166">
        <f t="shared" si="24"/>
        <v>1.0076546828255648</v>
      </c>
      <c r="BH47" s="166">
        <f t="shared" si="24"/>
        <v>1.059165973612328</v>
      </c>
      <c r="BI47" s="166">
        <f t="shared" si="24"/>
        <v>1.0104802112900719</v>
      </c>
      <c r="BJ47" s="166">
        <f t="shared" si="24"/>
        <v>1.0029752771418103</v>
      </c>
      <c r="BK47" s="166">
        <f t="shared" si="24"/>
        <v>1.0030851404839707</v>
      </c>
      <c r="BL47" s="166">
        <f t="shared" si="24"/>
        <v>0.99358356437300899</v>
      </c>
      <c r="BM47" s="166">
        <f t="shared" si="24"/>
        <v>0.99211002318150099</v>
      </c>
      <c r="BN47" s="166">
        <f t="shared" si="24"/>
        <v>1.0048158681996247</v>
      </c>
      <c r="BO47" s="166">
        <f t="shared" si="24"/>
        <v>1.0101946925593626</v>
      </c>
      <c r="BP47" s="166">
        <f t="shared" si="24"/>
        <v>1.0044719360204399</v>
      </c>
      <c r="BQ47" s="166">
        <f t="shared" si="24"/>
        <v>1.0013471285246991</v>
      </c>
      <c r="BR47" s="166">
        <f t="shared" si="24"/>
        <v>1.0053967728112756</v>
      </c>
      <c r="BS47" s="166">
        <f t="shared" si="24"/>
        <v>1.0000508051850596</v>
      </c>
      <c r="BT47" s="166">
        <f t="shared" si="24"/>
        <v>1.0176621470665015</v>
      </c>
      <c r="BU47" s="166">
        <f t="shared" si="24"/>
        <v>1.0103411084257186</v>
      </c>
      <c r="BV47" s="166">
        <f t="shared" si="24"/>
        <v>1.0048164847312033</v>
      </c>
      <c r="BW47" s="166">
        <f t="shared" si="24"/>
        <v>1.0080203470258486</v>
      </c>
      <c r="BX47" s="166">
        <f t="shared" si="24"/>
        <v>0.9986167059050477</v>
      </c>
      <c r="BY47" s="166">
        <f t="shared" si="24"/>
        <v>1.0029593296561241</v>
      </c>
      <c r="BZ47" s="166">
        <f t="shared" si="24"/>
        <v>1.0023261165710737</v>
      </c>
      <c r="CA47" s="166">
        <f t="shared" si="24"/>
        <v>1.012718908354171</v>
      </c>
      <c r="CB47" s="166">
        <f t="shared" si="24"/>
        <v>1.0041047809900312</v>
      </c>
      <c r="CC47" s="166">
        <f t="shared" si="24"/>
        <v>1.0079089628262516</v>
      </c>
      <c r="CD47" s="166">
        <f t="shared" si="24"/>
        <v>1.0073187252110705</v>
      </c>
      <c r="CE47" s="166">
        <f t="shared" si="25"/>
        <v>1.0173388304260385</v>
      </c>
      <c r="CF47" s="166">
        <f t="shared" si="25"/>
        <v>0.99944377584201549</v>
      </c>
      <c r="CG47" s="166">
        <f t="shared" si="25"/>
        <v>1.0092401637101545</v>
      </c>
      <c r="CH47" s="166">
        <f t="shared" si="25"/>
        <v>1.0053847048273135</v>
      </c>
      <c r="CI47" s="166">
        <f t="shared" si="25"/>
        <v>1.0085142413032333</v>
      </c>
      <c r="CJ47" s="166">
        <f t="shared" si="25"/>
        <v>0.965161731019194</v>
      </c>
      <c r="CK47" s="166">
        <f t="shared" si="25"/>
        <v>0.986699311340274</v>
      </c>
      <c r="CL47" s="166">
        <f t="shared" si="25"/>
        <v>0.99189490378690892</v>
      </c>
      <c r="CM47" s="166">
        <f t="shared" si="25"/>
        <v>1.0017346029341314</v>
      </c>
      <c r="CN47" s="166">
        <f t="shared" si="25"/>
        <v>1.0054926957424284</v>
      </c>
      <c r="CO47" s="166">
        <f t="shared" si="25"/>
        <v>1.0032367825814581</v>
      </c>
      <c r="CP47" s="166">
        <f t="shared" si="25"/>
        <v>1.0088327319429564</v>
      </c>
      <c r="CQ47" s="166">
        <f t="shared" si="25"/>
        <v>1.0067808137671796</v>
      </c>
      <c r="CR47" s="166">
        <f t="shared" si="25"/>
        <v>1.0075820061841745</v>
      </c>
      <c r="CS47" s="166">
        <f t="shared" si="25"/>
        <v>1.0118431264208798</v>
      </c>
      <c r="CT47" s="166">
        <f t="shared" si="25"/>
        <v>1.0044129204823253</v>
      </c>
      <c r="CU47" s="166">
        <f t="shared" si="25"/>
        <v>1.0129894305354592</v>
      </c>
      <c r="CV47" s="166">
        <f t="shared" si="25"/>
        <v>1.0011422744037926</v>
      </c>
      <c r="CW47" s="166">
        <f t="shared" si="25"/>
        <v>0.99933108725517461</v>
      </c>
      <c r="CX47" s="166">
        <f t="shared" si="25"/>
        <v>1.005555879742384</v>
      </c>
      <c r="CY47" s="166">
        <f t="shared" si="25"/>
        <v>1.0090466761009811</v>
      </c>
      <c r="CZ47" s="166">
        <f t="shared" si="25"/>
        <v>1.009457689568938</v>
      </c>
      <c r="DA47" s="166">
        <f t="shared" si="25"/>
        <v>1.0092760419378013</v>
      </c>
      <c r="DB47" s="166">
        <f t="shared" si="25"/>
        <v>1.0105044530760383</v>
      </c>
      <c r="DC47" s="166">
        <f t="shared" si="25"/>
        <v>1.0100152500786679</v>
      </c>
      <c r="DD47" s="166">
        <f t="shared" si="25"/>
        <v>1.0025400336487951</v>
      </c>
      <c r="DE47" s="166">
        <f t="shared" si="25"/>
        <v>1.0103783726061355</v>
      </c>
      <c r="DF47" s="166">
        <f t="shared" si="25"/>
        <v>1.0040315315836701</v>
      </c>
      <c r="DG47" s="166">
        <f t="shared" si="25"/>
        <v>1.0137421207110682</v>
      </c>
      <c r="DH47" s="166">
        <f t="shared" si="25"/>
        <v>0.99169709530486339</v>
      </c>
      <c r="DI47" s="166">
        <f t="shared" si="25"/>
        <v>1.0006156714603103</v>
      </c>
      <c r="DJ47" s="166">
        <f t="shared" si="25"/>
        <v>1.0058619961436919</v>
      </c>
      <c r="DK47" s="166">
        <f t="shared" si="25"/>
        <v>1.009465072797826</v>
      </c>
      <c r="DL47" s="166">
        <f t="shared" si="25"/>
        <v>1.0072663620801634</v>
      </c>
      <c r="DM47" s="166">
        <f t="shared" si="25"/>
        <v>1.0029918482259104</v>
      </c>
      <c r="DN47" s="166">
        <f t="shared" si="25"/>
        <v>1.0106326177583045</v>
      </c>
      <c r="DO47" s="166">
        <f t="shared" si="25"/>
        <v>1.00919105160661</v>
      </c>
      <c r="DP47" s="167">
        <f t="shared" si="19"/>
        <v>6.0176877336834966E-3</v>
      </c>
      <c r="DQ47" s="167"/>
    </row>
    <row r="48" spans="2:121" s="170" customFormat="1" ht="28.8" x14ac:dyDescent="0.3">
      <c r="C48" s="169" t="str">
        <f>+B21</f>
        <v>Con depósitos mayores al monto de la cobertura</v>
      </c>
      <c r="D48" s="166"/>
      <c r="E48" s="166"/>
      <c r="F48" s="166"/>
      <c r="G48" s="166"/>
      <c r="H48" s="166"/>
      <c r="I48" s="166"/>
      <c r="J48" s="166"/>
      <c r="K48" s="166"/>
      <c r="L48" s="166"/>
      <c r="M48" s="166"/>
      <c r="N48" s="166"/>
      <c r="O48" s="166"/>
      <c r="P48" s="166"/>
      <c r="Q48" s="166"/>
      <c r="R48" s="166"/>
      <c r="S48" s="166">
        <f t="shared" si="24"/>
        <v>1.0172033218842487</v>
      </c>
      <c r="T48" s="166">
        <f t="shared" si="24"/>
        <v>1.0109764997810538</v>
      </c>
      <c r="U48" s="166">
        <f t="shared" si="24"/>
        <v>1.0111075818390074</v>
      </c>
      <c r="V48" s="166">
        <f t="shared" si="24"/>
        <v>1.0050929583900541</v>
      </c>
      <c r="W48" s="166">
        <f t="shared" si="24"/>
        <v>1.0103805572919626</v>
      </c>
      <c r="X48" s="166">
        <f t="shared" si="24"/>
        <v>0.99908134760681677</v>
      </c>
      <c r="Y48" s="166">
        <f t="shared" si="24"/>
        <v>1.0110245824732595</v>
      </c>
      <c r="Z48" s="166">
        <f t="shared" si="24"/>
        <v>1.0124263375249409</v>
      </c>
      <c r="AA48" s="166">
        <f t="shared" si="24"/>
        <v>1.0314407758446844</v>
      </c>
      <c r="AB48" s="166">
        <f t="shared" si="24"/>
        <v>0.9822971099498774</v>
      </c>
      <c r="AC48" s="166">
        <f t="shared" si="24"/>
        <v>0.99772011725111276</v>
      </c>
      <c r="AD48" s="166">
        <f t="shared" si="24"/>
        <v>0.99499455930359082</v>
      </c>
      <c r="AE48" s="166">
        <f t="shared" si="24"/>
        <v>0.98501749781277337</v>
      </c>
      <c r="AF48" s="166">
        <f t="shared" si="24"/>
        <v>1.0069575515339921</v>
      </c>
      <c r="AG48" s="166">
        <f t="shared" si="24"/>
        <v>0.98623617185490098</v>
      </c>
      <c r="AH48" s="166">
        <f t="shared" si="24"/>
        <v>0.95257038513853431</v>
      </c>
      <c r="AI48" s="166">
        <f t="shared" si="24"/>
        <v>1.0220153158527878</v>
      </c>
      <c r="AJ48" s="166">
        <f t="shared" si="24"/>
        <v>0.98678443606576205</v>
      </c>
      <c r="AK48" s="166">
        <f t="shared" si="24"/>
        <v>0.98085669676193066</v>
      </c>
      <c r="AL48" s="166">
        <f t="shared" si="24"/>
        <v>0.99977259919124406</v>
      </c>
      <c r="AM48" s="166">
        <f t="shared" si="24"/>
        <v>1</v>
      </c>
      <c r="AN48" s="166">
        <f t="shared" si="24"/>
        <v>1.0039161392405063</v>
      </c>
      <c r="AO48" s="166">
        <f t="shared" si="24"/>
        <v>0.99519287599984241</v>
      </c>
      <c r="AP48" s="166">
        <f t="shared" si="24"/>
        <v>0.99429861028625732</v>
      </c>
      <c r="AQ48" s="166">
        <f t="shared" si="24"/>
        <v>1.0020009556803249</v>
      </c>
      <c r="AR48" s="166">
        <f t="shared" si="24"/>
        <v>0.95435036213525637</v>
      </c>
      <c r="AS48" s="166">
        <f t="shared" si="24"/>
        <v>1.0575877066729542</v>
      </c>
      <c r="AT48" s="166">
        <f t="shared" si="24"/>
        <v>0.96596121665518264</v>
      </c>
      <c r="AU48" s="166">
        <f t="shared" si="24"/>
        <v>1.0076529572412669</v>
      </c>
      <c r="AV48" s="166">
        <f t="shared" si="24"/>
        <v>1.0136221595218591</v>
      </c>
      <c r="AW48" s="166">
        <f t="shared" si="24"/>
        <v>1.0108251022647909</v>
      </c>
      <c r="AX48" s="166">
        <f t="shared" si="24"/>
        <v>1.0086265607264473</v>
      </c>
      <c r="AY48" s="166">
        <f t="shared" si="24"/>
        <v>1.0358257738112713</v>
      </c>
      <c r="AZ48" s="166">
        <f t="shared" si="24"/>
        <v>0.94814359943316018</v>
      </c>
      <c r="BA48" s="166">
        <f t="shared" si="24"/>
        <v>1.0468409043353495</v>
      </c>
      <c r="BB48" s="166">
        <f t="shared" si="24"/>
        <v>1.0081380518170224</v>
      </c>
      <c r="BC48" s="166">
        <f t="shared" si="24"/>
        <v>1.0010668731176298</v>
      </c>
      <c r="BD48" s="166">
        <f t="shared" si="24"/>
        <v>0.99741582570970477</v>
      </c>
      <c r="BE48" s="166">
        <f t="shared" si="24"/>
        <v>1.0008604712734974</v>
      </c>
      <c r="BF48" s="166">
        <f t="shared" si="24"/>
        <v>0.99510614377355999</v>
      </c>
      <c r="BG48" s="166">
        <f t="shared" si="24"/>
        <v>1.0049748882074263</v>
      </c>
      <c r="BH48" s="166">
        <f t="shared" si="24"/>
        <v>0.99693915146476719</v>
      </c>
      <c r="BI48" s="166">
        <f t="shared" si="24"/>
        <v>0.9991282017265396</v>
      </c>
      <c r="BJ48" s="166">
        <f t="shared" si="24"/>
        <v>1.0165691360717775</v>
      </c>
      <c r="BK48" s="166">
        <f t="shared" si="24"/>
        <v>1.0262165994924615</v>
      </c>
      <c r="BL48" s="166">
        <f t="shared" si="24"/>
        <v>0.99569976544175132</v>
      </c>
      <c r="BM48" s="166">
        <f t="shared" si="24"/>
        <v>0.99816473553017226</v>
      </c>
      <c r="BN48" s="166">
        <f t="shared" si="24"/>
        <v>1.002488108305891</v>
      </c>
      <c r="BO48" s="166">
        <f t="shared" si="24"/>
        <v>1.0210143076136944</v>
      </c>
      <c r="BP48" s="166">
        <f t="shared" si="24"/>
        <v>1.0051387461459405</v>
      </c>
      <c r="BQ48" s="166">
        <f t="shared" si="24"/>
        <v>0.99787498888592518</v>
      </c>
      <c r="BR48" s="166">
        <f t="shared" si="24"/>
        <v>0.99660521602765728</v>
      </c>
      <c r="BS48" s="166">
        <f t="shared" si="24"/>
        <v>0.99817612874385342</v>
      </c>
      <c r="BT48" s="166">
        <f t="shared" si="24"/>
        <v>0.99851315765902948</v>
      </c>
      <c r="BU48" s="166">
        <f t="shared" si="24"/>
        <v>0.99407068532472187</v>
      </c>
      <c r="BV48" s="166">
        <f t="shared" si="24"/>
        <v>1.009204197836111</v>
      </c>
      <c r="BW48" s="166">
        <f t="shared" si="24"/>
        <v>1.0210838795053603</v>
      </c>
      <c r="BX48" s="166">
        <f t="shared" si="24"/>
        <v>0.99690009369773291</v>
      </c>
      <c r="BY48" s="166">
        <f t="shared" si="24"/>
        <v>1.0006588020343807</v>
      </c>
      <c r="BZ48" s="166">
        <f t="shared" si="24"/>
        <v>0.99583911234396671</v>
      </c>
      <c r="CA48" s="166">
        <f t="shared" si="24"/>
        <v>1.0132929022248862</v>
      </c>
      <c r="CB48" s="166">
        <f t="shared" si="24"/>
        <v>1.0056980304822882</v>
      </c>
      <c r="CC48" s="166">
        <f t="shared" si="24"/>
        <v>1.001531049157923</v>
      </c>
      <c r="CD48" s="166">
        <f t="shared" si="24"/>
        <v>1.001830995647067</v>
      </c>
      <c r="CE48" s="166">
        <f t="shared" si="25"/>
        <v>0.99478430290699682</v>
      </c>
      <c r="CF48" s="166">
        <f t="shared" si="25"/>
        <v>0.99906405178913438</v>
      </c>
      <c r="CG48" s="166">
        <f t="shared" si="25"/>
        <v>0.99502094844860045</v>
      </c>
      <c r="CH48" s="166">
        <f t="shared" si="25"/>
        <v>1.0079592708505871</v>
      </c>
      <c r="CI48" s="166">
        <f t="shared" si="25"/>
        <v>1.0266298801266196</v>
      </c>
      <c r="CJ48" s="166">
        <f t="shared" si="25"/>
        <v>0.99660491487013592</v>
      </c>
      <c r="CK48" s="166">
        <f t="shared" si="25"/>
        <v>1.0023753571488951</v>
      </c>
      <c r="CL48" s="166">
        <f t="shared" si="25"/>
        <v>0.98949223724268209</v>
      </c>
      <c r="CM48" s="166">
        <f t="shared" si="25"/>
        <v>1.0000426137574254</v>
      </c>
      <c r="CN48" s="166">
        <f t="shared" si="25"/>
        <v>1.0082326271114217</v>
      </c>
      <c r="CO48" s="166">
        <f t="shared" si="25"/>
        <v>1.0108364890451718</v>
      </c>
      <c r="CP48" s="166">
        <f t="shared" si="25"/>
        <v>1.0066228488284581</v>
      </c>
      <c r="CQ48" s="166">
        <f t="shared" si="25"/>
        <v>1.0050590639485619</v>
      </c>
      <c r="CR48" s="166">
        <f t="shared" si="25"/>
        <v>1.0148611007794226</v>
      </c>
      <c r="CS48" s="166">
        <f t="shared" si="25"/>
        <v>1.0200757421509141</v>
      </c>
      <c r="CT48" s="166">
        <f t="shared" si="25"/>
        <v>1.0060518962075848</v>
      </c>
      <c r="CU48" s="166">
        <f t="shared" si="25"/>
        <v>1.0384023236619897</v>
      </c>
      <c r="CV48" s="166">
        <f t="shared" si="25"/>
        <v>0.98578492437732623</v>
      </c>
      <c r="CW48" s="166">
        <f t="shared" si="25"/>
        <v>0.99787575492103853</v>
      </c>
      <c r="CX48" s="166">
        <f t="shared" si="25"/>
        <v>0.99967369263399963</v>
      </c>
      <c r="CY48" s="166">
        <f t="shared" si="25"/>
        <v>1.0071033877097404</v>
      </c>
      <c r="CZ48" s="166">
        <f t="shared" si="25"/>
        <v>1.0133966122622218</v>
      </c>
      <c r="DA48" s="166">
        <f t="shared" si="25"/>
        <v>1.0048354794739607</v>
      </c>
      <c r="DB48" s="166">
        <f t="shared" si="25"/>
        <v>1.0067219376155687</v>
      </c>
      <c r="DC48" s="166">
        <f t="shared" si="25"/>
        <v>0.99977416950836706</v>
      </c>
      <c r="DD48" s="166">
        <f t="shared" si="25"/>
        <v>1.0024470496111073</v>
      </c>
      <c r="DE48" s="166">
        <f t="shared" si="25"/>
        <v>0.99669515840706635</v>
      </c>
      <c r="DF48" s="166">
        <f t="shared" si="25"/>
        <v>1.0005802649625466</v>
      </c>
      <c r="DG48" s="166">
        <f t="shared" si="25"/>
        <v>1.0294257202033514</v>
      </c>
      <c r="DH48" s="166">
        <f t="shared" si="25"/>
        <v>0.99756368797647088</v>
      </c>
      <c r="DI48" s="166">
        <f t="shared" si="25"/>
        <v>0.99557752532105115</v>
      </c>
      <c r="DJ48" s="166">
        <f t="shared" si="25"/>
        <v>1.0038675172749105</v>
      </c>
      <c r="DK48" s="166">
        <f t="shared" si="25"/>
        <v>1.0122109619801718</v>
      </c>
      <c r="DL48" s="166">
        <f t="shared" si="25"/>
        <v>1.0029941639177873</v>
      </c>
      <c r="DM48" s="166">
        <f t="shared" si="25"/>
        <v>0.99979761181946969</v>
      </c>
      <c r="DN48" s="166">
        <f t="shared" si="25"/>
        <v>1.000224117987276</v>
      </c>
      <c r="DO48" s="166">
        <f t="shared" si="25"/>
        <v>1.0040621318241285</v>
      </c>
      <c r="DP48" s="167">
        <f t="shared" si="19"/>
        <v>3.4428251148117539E-3</v>
      </c>
      <c r="DQ48" s="167"/>
    </row>
    <row r="49" spans="3:121" s="170" customFormat="1" x14ac:dyDescent="0.3">
      <c r="C49" s="174"/>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7">
        <f t="shared" si="19"/>
        <v>0</v>
      </c>
      <c r="DQ49" s="175"/>
    </row>
    <row r="50" spans="3:121" s="170" customFormat="1" x14ac:dyDescent="0.3">
      <c r="C50" s="174"/>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7">
        <f t="shared" si="19"/>
        <v>0</v>
      </c>
      <c r="DQ50" s="175"/>
    </row>
    <row r="51" spans="3:121" s="170" customFormat="1" x14ac:dyDescent="0.3">
      <c r="C51" s="176" t="s">
        <v>101</v>
      </c>
      <c r="D51" s="176"/>
      <c r="E51" s="176"/>
      <c r="F51" s="176"/>
      <c r="G51" s="176"/>
      <c r="H51" s="176"/>
      <c r="I51" s="176"/>
      <c r="J51" s="176"/>
      <c r="K51" s="176"/>
      <c r="L51" s="176"/>
      <c r="M51" s="176"/>
      <c r="N51" s="176"/>
      <c r="P51" s="176">
        <f t="shared" ref="P51:R51" si="26">P11/D11</f>
        <v>1.1575046134230431</v>
      </c>
      <c r="Q51" s="176">
        <f t="shared" si="26"/>
        <v>1.1560132510363657</v>
      </c>
      <c r="R51" s="176">
        <f t="shared" si="26"/>
        <v>1.1533775252092413</v>
      </c>
      <c r="S51" s="176">
        <f>S11/G11</f>
        <v>1.1508184632990561</v>
      </c>
      <c r="T51" s="176">
        <f t="shared" ref="T51:CE51" si="27">T11/H11</f>
        <v>1.1464644978825875</v>
      </c>
      <c r="U51" s="176">
        <f t="shared" si="27"/>
        <v>1.1248342515642802</v>
      </c>
      <c r="V51" s="176">
        <f t="shared" si="27"/>
        <v>1.2189361844565516</v>
      </c>
      <c r="W51" s="176">
        <f t="shared" si="27"/>
        <v>1.2571569929670738</v>
      </c>
      <c r="X51" s="176">
        <f t="shared" si="27"/>
        <v>1.234833410330586</v>
      </c>
      <c r="Y51" s="176">
        <f t="shared" si="27"/>
        <v>1.2524381937107041</v>
      </c>
      <c r="Z51" s="176">
        <f t="shared" si="27"/>
        <v>1.2502135967108676</v>
      </c>
      <c r="AA51" s="176">
        <f t="shared" si="27"/>
        <v>1.2510632229281164</v>
      </c>
      <c r="AB51" s="176">
        <f t="shared" si="27"/>
        <v>1.2467667262351676</v>
      </c>
      <c r="AC51" s="176">
        <f t="shared" si="27"/>
        <v>1.2216659638107645</v>
      </c>
      <c r="AD51" s="176">
        <f t="shared" si="27"/>
        <v>1.2375568811658759</v>
      </c>
      <c r="AE51" s="176">
        <f t="shared" si="27"/>
        <v>1.2342059933543239</v>
      </c>
      <c r="AF51" s="176">
        <f t="shared" si="27"/>
        <v>1.2332251382228325</v>
      </c>
      <c r="AG51" s="176">
        <f t="shared" si="27"/>
        <v>1.2505812391493629</v>
      </c>
      <c r="AH51" s="176">
        <f t="shared" si="27"/>
        <v>1.2676820466514949</v>
      </c>
      <c r="AI51" s="176">
        <f t="shared" si="27"/>
        <v>1.2233487332425277</v>
      </c>
      <c r="AJ51" s="176">
        <f t="shared" si="27"/>
        <v>1.2390551362906164</v>
      </c>
      <c r="AK51" s="176">
        <f t="shared" si="27"/>
        <v>1.2156061010905996</v>
      </c>
      <c r="AL51" s="176">
        <f t="shared" si="27"/>
        <v>1.2114329241178847</v>
      </c>
      <c r="AM51" s="176">
        <f t="shared" si="27"/>
        <v>1.2069763294079114</v>
      </c>
      <c r="AN51" s="176">
        <f t="shared" si="27"/>
        <v>1.2019622732078772</v>
      </c>
      <c r="AO51" s="176">
        <f t="shared" si="27"/>
        <v>1.2161223442811195</v>
      </c>
      <c r="AP51" s="176">
        <f t="shared" si="27"/>
        <v>1.1931799905187375</v>
      </c>
      <c r="AQ51" s="176">
        <f t="shared" si="27"/>
        <v>1.1883269516458017</v>
      </c>
      <c r="AR51" s="176">
        <f t="shared" si="27"/>
        <v>1.1846218071727943</v>
      </c>
      <c r="AS51" s="176">
        <f t="shared" si="27"/>
        <v>1.1812419211910241</v>
      </c>
      <c r="AT51" s="176">
        <f t="shared" si="27"/>
        <v>1.1780917690822843</v>
      </c>
      <c r="AU51" s="176">
        <f t="shared" si="27"/>
        <v>1.145808162289105</v>
      </c>
      <c r="AV51" s="176">
        <f t="shared" si="27"/>
        <v>1.1435837394449637</v>
      </c>
      <c r="AW51" s="176">
        <f t="shared" si="27"/>
        <v>1.1415626058615114</v>
      </c>
      <c r="AX51" s="176">
        <f t="shared" si="27"/>
        <v>1.1403538666066202</v>
      </c>
      <c r="AY51" s="176">
        <f t="shared" si="27"/>
        <v>1.1344013115866438</v>
      </c>
      <c r="AZ51" s="176">
        <f t="shared" si="27"/>
        <v>1.0987519011130149</v>
      </c>
      <c r="BA51" s="176">
        <f t="shared" si="27"/>
        <v>1.0985544189959486</v>
      </c>
      <c r="BB51" s="176">
        <f t="shared" si="27"/>
        <v>1.0980551316976801</v>
      </c>
      <c r="BC51" s="176">
        <f t="shared" si="27"/>
        <v>1.0975251589083328</v>
      </c>
      <c r="BD51" s="176">
        <f t="shared" si="27"/>
        <v>1.0978952667091566</v>
      </c>
      <c r="BE51" s="176">
        <f t="shared" si="27"/>
        <v>1.0974401250676857</v>
      </c>
      <c r="BF51" s="176">
        <f t="shared" si="27"/>
        <v>1.0972055648243775</v>
      </c>
      <c r="BG51" s="176">
        <f t="shared" si="27"/>
        <v>1.1252447874624716</v>
      </c>
      <c r="BH51" s="176">
        <f t="shared" si="27"/>
        <v>1.1235535036814586</v>
      </c>
      <c r="BI51" s="176">
        <f t="shared" si="27"/>
        <v>1.1241023223838582</v>
      </c>
      <c r="BJ51" s="176">
        <f t="shared" si="27"/>
        <v>1.1229417004916138</v>
      </c>
      <c r="BK51" s="176">
        <f t="shared" si="27"/>
        <v>1.1266270730112615</v>
      </c>
      <c r="BL51" s="176">
        <f t="shared" si="27"/>
        <v>1.1600202379091473</v>
      </c>
      <c r="BM51" s="176">
        <f t="shared" si="27"/>
        <v>1.1447904008067638</v>
      </c>
      <c r="BN51" s="176">
        <f t="shared" si="27"/>
        <v>1.1544060321849026</v>
      </c>
      <c r="BO51" s="176">
        <f t="shared" si="27"/>
        <v>1.1521928839941511</v>
      </c>
      <c r="BP51" s="176">
        <f t="shared" si="27"/>
        <v>1.1486781665214369</v>
      </c>
      <c r="BQ51" s="176">
        <f t="shared" si="27"/>
        <v>1.1461727130509485</v>
      </c>
      <c r="BR51" s="176">
        <f t="shared" si="27"/>
        <v>1.1434424560735026</v>
      </c>
      <c r="BS51" s="176">
        <f t="shared" si="27"/>
        <v>1.1406977704833852</v>
      </c>
      <c r="BT51" s="176">
        <f t="shared" si="27"/>
        <v>1.1397281852008763</v>
      </c>
      <c r="BU51" s="176">
        <f t="shared" si="27"/>
        <v>1.1362004536012782</v>
      </c>
      <c r="BV51" s="176">
        <f t="shared" si="27"/>
        <v>1.1228972863609823</v>
      </c>
      <c r="BW51" s="176">
        <f t="shared" si="27"/>
        <v>1.1498088090007863</v>
      </c>
      <c r="BX51" s="176">
        <f t="shared" si="27"/>
        <v>1.148514731606854</v>
      </c>
      <c r="BY51" s="176">
        <f t="shared" si="27"/>
        <v>1.1595103242063876</v>
      </c>
      <c r="BZ51" s="176">
        <f t="shared" si="27"/>
        <v>1.1457936634722405</v>
      </c>
      <c r="CA51" s="176">
        <f t="shared" si="27"/>
        <v>1.1444581508331564</v>
      </c>
      <c r="CB51" s="176">
        <f t="shared" si="27"/>
        <v>1.1432743328282575</v>
      </c>
      <c r="CC51" s="176">
        <f t="shared" si="27"/>
        <v>1.1422611815402783</v>
      </c>
      <c r="CD51" s="176">
        <f t="shared" si="27"/>
        <v>1.1413185761293481</v>
      </c>
      <c r="CE51" s="176">
        <f t="shared" si="27"/>
        <v>1.140357981134545</v>
      </c>
      <c r="CF51" s="176">
        <f t="shared" ref="CF51:DO51" si="28">CF11/BT11</f>
        <v>1.1395213428850572</v>
      </c>
      <c r="CG51" s="176">
        <f t="shared" si="28"/>
        <v>1.1386451814112397</v>
      </c>
      <c r="CH51" s="176">
        <f t="shared" si="28"/>
        <v>1.1490825673179257</v>
      </c>
      <c r="CI51" s="176">
        <f t="shared" si="28"/>
        <v>1.1414707873844607</v>
      </c>
      <c r="CJ51" s="176">
        <f t="shared" si="28"/>
        <v>1.1305102076232776</v>
      </c>
      <c r="CK51" s="176">
        <f t="shared" si="28"/>
        <v>1.1403104897670604</v>
      </c>
      <c r="CL51" s="176">
        <f t="shared" si="28"/>
        <v>1.1398591266032454</v>
      </c>
      <c r="CM51" s="176">
        <f t="shared" si="28"/>
        <v>1.129052396820508</v>
      </c>
      <c r="CN51" s="176">
        <f t="shared" si="28"/>
        <v>1.1183051443309244</v>
      </c>
      <c r="CO51" s="176">
        <f t="shared" si="28"/>
        <v>1.1078296426672007</v>
      </c>
      <c r="CP51" s="176">
        <f t="shared" si="28"/>
        <v>1.1368109394767998</v>
      </c>
      <c r="CQ51" s="176">
        <f t="shared" si="28"/>
        <v>1.1361482588985021</v>
      </c>
      <c r="CR51" s="176">
        <f t="shared" si="28"/>
        <v>1.1354068585053734</v>
      </c>
      <c r="CS51" s="176">
        <f t="shared" si="28"/>
        <v>1.1348628703378765</v>
      </c>
      <c r="CT51" s="176">
        <f t="shared" si="28"/>
        <v>1.1345288485093623</v>
      </c>
      <c r="CU51" s="176">
        <f t="shared" si="28"/>
        <v>1.1361887262197072</v>
      </c>
      <c r="CV51" s="176">
        <f t="shared" si="28"/>
        <v>1.1361887262197072</v>
      </c>
      <c r="CW51" s="176">
        <f t="shared" si="28"/>
        <v>1.1157420331574681</v>
      </c>
      <c r="CX51" s="176">
        <f t="shared" si="28"/>
        <v>1.1056865974099896</v>
      </c>
      <c r="CY51" s="176">
        <f t="shared" si="28"/>
        <v>1.13533019483484</v>
      </c>
      <c r="CZ51" s="176">
        <f t="shared" si="28"/>
        <v>1.1552571690268207</v>
      </c>
      <c r="DA51" s="176">
        <f t="shared" si="28"/>
        <v>1.165318378283815</v>
      </c>
      <c r="DB51" s="176">
        <f t="shared" si="28"/>
        <v>1.1251094652740632</v>
      </c>
      <c r="DC51" s="176">
        <f t="shared" si="28"/>
        <v>1.1347752935151296</v>
      </c>
      <c r="DD51" s="176">
        <f t="shared" si="28"/>
        <v>1.1346594765874369</v>
      </c>
      <c r="DE51" s="176">
        <f t="shared" si="28"/>
        <v>1.124784024694794</v>
      </c>
      <c r="DF51" s="176">
        <f t="shared" si="28"/>
        <v>1.1343755551432102</v>
      </c>
      <c r="DG51" s="176">
        <f t="shared" si="28"/>
        <v>1.1333341891519138</v>
      </c>
      <c r="DH51" s="176">
        <f t="shared" si="28"/>
        <v>1.1431143291800221</v>
      </c>
      <c r="DI51" s="176">
        <f t="shared" si="28"/>
        <v>1.1529689553550528</v>
      </c>
      <c r="DJ51" s="176">
        <f t="shared" si="28"/>
        <v>1.1629018306456191</v>
      </c>
      <c r="DK51" s="176">
        <f t="shared" si="28"/>
        <v>1.1421378013201249</v>
      </c>
      <c r="DL51" s="176">
        <f t="shared" si="28"/>
        <v>1.1264175271167971</v>
      </c>
      <c r="DM51" s="176">
        <f t="shared" si="28"/>
        <v>1.1314896432270247</v>
      </c>
      <c r="DN51" s="176">
        <f t="shared" si="28"/>
        <v>1.1408985272912195</v>
      </c>
      <c r="DO51" s="176">
        <f t="shared" si="28"/>
        <v>1.1306135710024552</v>
      </c>
      <c r="DP51" s="167">
        <f t="shared" si="19"/>
        <v>0.13783675173078147</v>
      </c>
    </row>
    <row r="52" spans="3:121" s="170" customFormat="1" x14ac:dyDescent="0.3">
      <c r="C52" s="177" t="s">
        <v>102</v>
      </c>
      <c r="D52" s="177"/>
      <c r="E52" s="177"/>
      <c r="F52" s="177"/>
      <c r="G52" s="177"/>
      <c r="H52" s="177"/>
      <c r="I52" s="177"/>
      <c r="J52" s="177"/>
      <c r="K52" s="177"/>
      <c r="L52" s="177"/>
      <c r="M52" s="177"/>
      <c r="N52" s="177"/>
      <c r="P52" s="176">
        <f t="shared" ref="P52:CA52" si="29">P13/D13</f>
        <v>1.1146775978410168</v>
      </c>
      <c r="Q52" s="176">
        <f t="shared" si="29"/>
        <v>1.1064124160272446</v>
      </c>
      <c r="R52" s="176">
        <f t="shared" si="29"/>
        <v>1.1264526897539364</v>
      </c>
      <c r="S52" s="176">
        <f t="shared" si="29"/>
        <v>1.1370213444404871</v>
      </c>
      <c r="T52" s="176">
        <f t="shared" si="29"/>
        <v>1.1169795325942717</v>
      </c>
      <c r="U52" s="176">
        <f t="shared" si="29"/>
        <v>1.1230225399726808</v>
      </c>
      <c r="V52" s="176">
        <f t="shared" si="29"/>
        <v>1.1323087935623948</v>
      </c>
      <c r="W52" s="176">
        <f t="shared" si="29"/>
        <v>1.1381942311216271</v>
      </c>
      <c r="X52" s="176">
        <f t="shared" si="29"/>
        <v>1.1500527329756915</v>
      </c>
      <c r="Y52" s="176">
        <f t="shared" si="29"/>
        <v>1.1313732922100621</v>
      </c>
      <c r="Z52" s="176">
        <f t="shared" si="29"/>
        <v>1.1097947358289666</v>
      </c>
      <c r="AA52" s="176">
        <f t="shared" si="29"/>
        <v>1.1016896530027025</v>
      </c>
      <c r="AB52" s="176">
        <f t="shared" si="29"/>
        <v>1.0959239484777463</v>
      </c>
      <c r="AC52" s="176">
        <f t="shared" si="29"/>
        <v>1.0966654727724408</v>
      </c>
      <c r="AD52" s="176">
        <f t="shared" si="29"/>
        <v>1.0814032898626573</v>
      </c>
      <c r="AE52" s="176">
        <f t="shared" si="29"/>
        <v>1.0585712397348588</v>
      </c>
      <c r="AF52" s="176">
        <f t="shared" si="29"/>
        <v>1.0475876176924726</v>
      </c>
      <c r="AG52" s="176">
        <f t="shared" si="29"/>
        <v>1.0245310613845522</v>
      </c>
      <c r="AH52" s="176">
        <f t="shared" si="29"/>
        <v>0.97656104535174115</v>
      </c>
      <c r="AI52" s="176">
        <f t="shared" si="29"/>
        <v>0.97334539594551595</v>
      </c>
      <c r="AJ52" s="176">
        <f t="shared" si="29"/>
        <v>0.94965784551033794</v>
      </c>
      <c r="AK52" s="176">
        <f t="shared" si="29"/>
        <v>0.93781935135471606</v>
      </c>
      <c r="AL52" s="176">
        <f t="shared" si="29"/>
        <v>0.92147294751483277</v>
      </c>
      <c r="AM52" s="176">
        <f t="shared" si="29"/>
        <v>0.89173981408572178</v>
      </c>
      <c r="AN52" s="176">
        <f t="shared" si="29"/>
        <v>0.92426506731928315</v>
      </c>
      <c r="AO52" s="176">
        <f t="shared" si="29"/>
        <v>0.9372667516181028</v>
      </c>
      <c r="AP52" s="176">
        <f t="shared" si="29"/>
        <v>0.96058206138697466</v>
      </c>
      <c r="AQ52" s="176">
        <f t="shared" si="29"/>
        <v>0.97170042290026548</v>
      </c>
      <c r="AR52" s="176">
        <f t="shared" si="29"/>
        <v>0.96781471557740273</v>
      </c>
      <c r="AS52" s="176">
        <f t="shared" si="29"/>
        <v>0.99816663393482985</v>
      </c>
      <c r="AT52" s="176">
        <f t="shared" si="29"/>
        <v>1.0041048787077598</v>
      </c>
      <c r="AU52" s="176">
        <f t="shared" si="29"/>
        <v>1.0163923182267616</v>
      </c>
      <c r="AV52" s="176">
        <f t="shared" si="29"/>
        <v>1.0532269136739283</v>
      </c>
      <c r="AW52" s="176">
        <f t="shared" si="29"/>
        <v>1.0689956434768912</v>
      </c>
      <c r="AX52" s="176">
        <f t="shared" si="29"/>
        <v>1.0871407077939788</v>
      </c>
      <c r="AY52" s="176">
        <f t="shared" si="29"/>
        <v>1.1388122584397047</v>
      </c>
      <c r="AZ52" s="176">
        <f t="shared" si="29"/>
        <v>1.1010225865584458</v>
      </c>
      <c r="BA52" s="176">
        <f t="shared" si="29"/>
        <v>1.0976209756535347</v>
      </c>
      <c r="BB52" s="176">
        <f t="shared" si="29"/>
        <v>1.0963829393079125</v>
      </c>
      <c r="BC52" s="176">
        <f t="shared" si="29"/>
        <v>1.0944302356407565</v>
      </c>
      <c r="BD52" s="176">
        <f t="shared" si="29"/>
        <v>1.0876715466517322</v>
      </c>
      <c r="BE52" s="176">
        <f t="shared" si="29"/>
        <v>1.081158725591014</v>
      </c>
      <c r="BF52" s="176">
        <f t="shared" si="29"/>
        <v>1.0982882598843282</v>
      </c>
      <c r="BG52" s="176">
        <f t="shared" si="29"/>
        <v>1.0732718656141393</v>
      </c>
      <c r="BH52" s="176">
        <f t="shared" si="29"/>
        <v>1.0475759632269959</v>
      </c>
      <c r="BI52" s="176">
        <f t="shared" si="29"/>
        <v>1.0516221980390639</v>
      </c>
      <c r="BJ52" s="176">
        <f t="shared" si="29"/>
        <v>1.0629137961296486</v>
      </c>
      <c r="BK52" s="176">
        <f t="shared" si="29"/>
        <v>1.0412984099265878</v>
      </c>
      <c r="BL52" s="176">
        <f t="shared" si="29"/>
        <v>1.0488665779539033</v>
      </c>
      <c r="BM52" s="176">
        <f t="shared" si="29"/>
        <v>1.0442757331445072</v>
      </c>
      <c r="BN52" s="176">
        <f t="shared" si="29"/>
        <v>1.0341452166771286</v>
      </c>
      <c r="BO52" s="176">
        <f t="shared" si="29"/>
        <v>1.0336936177187048</v>
      </c>
      <c r="BP52" s="176">
        <f t="shared" si="29"/>
        <v>1.0445369338840331</v>
      </c>
      <c r="BQ52" s="176">
        <f t="shared" si="29"/>
        <v>1.0340351401465371</v>
      </c>
      <c r="BR52" s="176">
        <f t="shared" si="29"/>
        <v>1.0465211557290734</v>
      </c>
      <c r="BS52" s="176">
        <f t="shared" si="29"/>
        <v>1.0505304532278894</v>
      </c>
      <c r="BT52" s="176">
        <f t="shared" si="29"/>
        <v>1.0505591840917923</v>
      </c>
      <c r="BU52" s="176">
        <f t="shared" si="29"/>
        <v>1.0382002634889596</v>
      </c>
      <c r="BV52" s="176">
        <f t="shared" si="29"/>
        <v>1.0308465322780436</v>
      </c>
      <c r="BW52" s="176">
        <f t="shared" si="29"/>
        <v>1.0180212228713372</v>
      </c>
      <c r="BX52" s="176">
        <f t="shared" si="29"/>
        <v>1.0246514321560338</v>
      </c>
      <c r="BY52" s="176">
        <f t="shared" si="29"/>
        <v>1.0292927714431799</v>
      </c>
      <c r="BZ52" s="176">
        <f t="shared" si="29"/>
        <v>1.0185256447158393</v>
      </c>
      <c r="CA52" s="176">
        <f t="shared" si="29"/>
        <v>1.0411924223569493</v>
      </c>
      <c r="CB52" s="176">
        <f t="shared" ref="CB52:DO52" si="30">CB13/BP13</f>
        <v>1.0388411351624554</v>
      </c>
      <c r="CC52" s="176">
        <f t="shared" si="30"/>
        <v>1.0402371529096597</v>
      </c>
      <c r="CD52" s="176">
        <f t="shared" si="30"/>
        <v>1.049834135146436</v>
      </c>
      <c r="CE52" s="176">
        <f t="shared" si="30"/>
        <v>1.0517094452569842</v>
      </c>
      <c r="CF52" s="176">
        <f t="shared" si="30"/>
        <v>1.0564514220443448</v>
      </c>
      <c r="CG52" s="176">
        <f t="shared" si="30"/>
        <v>1.0622457072341767</v>
      </c>
      <c r="CH52" s="176">
        <f t="shared" si="30"/>
        <v>1.0550109869858304</v>
      </c>
      <c r="CI52" s="176">
        <f t="shared" si="30"/>
        <v>1.0825789374141428</v>
      </c>
      <c r="CJ52" s="176">
        <f t="shared" si="30"/>
        <v>1.0866141013459294</v>
      </c>
      <c r="CK52" s="176">
        <f t="shared" si="30"/>
        <v>1.0878414689078635</v>
      </c>
      <c r="CL52" s="176">
        <f t="shared" si="30"/>
        <v>1.0583620168431638</v>
      </c>
      <c r="CM52" s="176">
        <f t="shared" si="30"/>
        <v>1.0462389977719391</v>
      </c>
      <c r="CN52" s="176">
        <f t="shared" si="30"/>
        <v>1.0606334285884425</v>
      </c>
      <c r="CO52" s="176">
        <f t="shared" si="30"/>
        <v>1.066760702810426</v>
      </c>
      <c r="CP52" s="176">
        <f t="shared" si="30"/>
        <v>1.0639488489307234</v>
      </c>
      <c r="CQ52" s="176">
        <f t="shared" si="30"/>
        <v>1.0702459397330921</v>
      </c>
      <c r="CR52" s="176">
        <f t="shared" si="30"/>
        <v>1.0869745607639494</v>
      </c>
      <c r="CS52" s="176">
        <f t="shared" si="30"/>
        <v>1.1170087272587248</v>
      </c>
      <c r="CT52" s="176">
        <f t="shared" si="30"/>
        <v>1.1102698472018901</v>
      </c>
      <c r="CU52" s="176">
        <f t="shared" si="30"/>
        <v>1.1153981864551534</v>
      </c>
      <c r="CV52" s="176">
        <f t="shared" si="30"/>
        <v>1.1086837676119685</v>
      </c>
      <c r="CW52" s="176">
        <f t="shared" si="30"/>
        <v>1.0909906187265661</v>
      </c>
      <c r="CX52" s="176">
        <f t="shared" si="30"/>
        <v>1.1373012853561459</v>
      </c>
      <c r="CY52" s="176">
        <f t="shared" si="30"/>
        <v>1.1336778811775174</v>
      </c>
      <c r="CZ52" s="176">
        <f t="shared" si="30"/>
        <v>1.1327413265400754</v>
      </c>
      <c r="DA52" s="176">
        <f t="shared" si="30"/>
        <v>1.1299972741829853</v>
      </c>
      <c r="DB52" s="176">
        <f t="shared" si="30"/>
        <v>1.1283794108901211</v>
      </c>
      <c r="DC52" s="176">
        <f t="shared" si="30"/>
        <v>1.1261146632831123</v>
      </c>
      <c r="DD52" s="176">
        <f t="shared" si="30"/>
        <v>1.1241913675577893</v>
      </c>
      <c r="DE52" s="176">
        <f t="shared" si="30"/>
        <v>1.100762711330352</v>
      </c>
      <c r="DF52" s="176">
        <f t="shared" si="30"/>
        <v>1.1104285070562747</v>
      </c>
      <c r="DG52" s="176">
        <f t="shared" si="30"/>
        <v>1.0962516256134904</v>
      </c>
      <c r="DH52" s="176">
        <f t="shared" si="30"/>
        <v>1.0897838178402093</v>
      </c>
      <c r="DI52" s="176">
        <f t="shared" si="30"/>
        <v>1.1096158730473638</v>
      </c>
      <c r="DJ52" s="176">
        <f t="shared" si="30"/>
        <v>1.1047636381296642</v>
      </c>
      <c r="DK52" s="176">
        <f t="shared" si="30"/>
        <v>1.094912494112215</v>
      </c>
      <c r="DL52" s="176">
        <f t="shared" si="30"/>
        <v>1.0867727839341759</v>
      </c>
      <c r="DM52" s="176">
        <f t="shared" si="30"/>
        <v>1.076668496340984</v>
      </c>
      <c r="DN52" s="176">
        <f t="shared" si="30"/>
        <v>1.0712345430973496</v>
      </c>
      <c r="DO52" s="176">
        <f t="shared" si="30"/>
        <v>1.0810230425272449</v>
      </c>
      <c r="DP52" s="167">
        <f t="shared" si="19"/>
        <v>9.7764525322523443E-2</v>
      </c>
    </row>
    <row r="53" spans="3:121" s="170" customFormat="1" x14ac:dyDescent="0.3">
      <c r="C53" s="177" t="s">
        <v>103</v>
      </c>
      <c r="D53" s="177"/>
      <c r="E53" s="177"/>
      <c r="F53" s="177"/>
      <c r="G53" s="177"/>
      <c r="H53" s="177"/>
      <c r="I53" s="177"/>
      <c r="J53" s="177"/>
      <c r="K53" s="177"/>
      <c r="L53" s="177"/>
      <c r="M53" s="177"/>
      <c r="N53" s="177"/>
      <c r="P53" s="176">
        <f t="shared" ref="P53:CA53" si="31">P16/D16</f>
        <v>1.1311208744619066</v>
      </c>
      <c r="Q53" s="176">
        <f t="shared" si="31"/>
        <v>1.1325471694102438</v>
      </c>
      <c r="R53" s="176">
        <f t="shared" si="31"/>
        <v>1.1269208738491483</v>
      </c>
      <c r="S53" s="176">
        <f t="shared" si="31"/>
        <v>1.1507017640392916</v>
      </c>
      <c r="T53" s="176">
        <f t="shared" si="31"/>
        <v>1.1314647132861619</v>
      </c>
      <c r="U53" s="176">
        <f t="shared" si="31"/>
        <v>1.1201491730678974</v>
      </c>
      <c r="V53" s="176">
        <f t="shared" si="31"/>
        <v>1.1243052905919027</v>
      </c>
      <c r="W53" s="176">
        <f t="shared" si="31"/>
        <v>1.1215176279220778</v>
      </c>
      <c r="X53" s="176">
        <f t="shared" si="31"/>
        <v>1.1172864062350054</v>
      </c>
      <c r="Y53" s="176">
        <f t="shared" si="31"/>
        <v>1.1176033798192355</v>
      </c>
      <c r="Z53" s="176">
        <f t="shared" si="31"/>
        <v>1.1061356525844985</v>
      </c>
      <c r="AA53" s="176">
        <f t="shared" si="31"/>
        <v>1.0977099008542197</v>
      </c>
      <c r="AB53" s="176">
        <f t="shared" si="31"/>
        <v>1.083159148903273</v>
      </c>
      <c r="AC53" s="176">
        <f t="shared" si="31"/>
        <v>1.0758672575092274</v>
      </c>
      <c r="AD53" s="176">
        <f t="shared" si="31"/>
        <v>1.0657928297033508</v>
      </c>
      <c r="AE53" s="176">
        <f t="shared" si="31"/>
        <v>1.0360102662017387</v>
      </c>
      <c r="AF53" s="176">
        <f t="shared" si="31"/>
        <v>1.0322236164568397</v>
      </c>
      <c r="AG53" s="176">
        <f t="shared" si="31"/>
        <v>1.0199029170404588</v>
      </c>
      <c r="AH53" s="176">
        <f t="shared" si="31"/>
        <v>0.97853337084538583</v>
      </c>
      <c r="AI53" s="176">
        <f t="shared" si="31"/>
        <v>0.9818680837234377</v>
      </c>
      <c r="AJ53" s="176">
        <f t="shared" si="31"/>
        <v>0.98630241935559959</v>
      </c>
      <c r="AK53" s="176">
        <f t="shared" si="31"/>
        <v>0.96617091585070003</v>
      </c>
      <c r="AL53" s="176">
        <f t="shared" si="31"/>
        <v>0.95084450457970626</v>
      </c>
      <c r="AM53" s="176">
        <f t="shared" si="31"/>
        <v>0.92741356150595233</v>
      </c>
      <c r="AN53" s="176">
        <f t="shared" si="31"/>
        <v>0.93520845242852479</v>
      </c>
      <c r="AO53" s="176">
        <f t="shared" si="31"/>
        <v>0.9285138207519299</v>
      </c>
      <c r="AP53" s="176">
        <f t="shared" si="31"/>
        <v>0.93150674031933567</v>
      </c>
      <c r="AQ53" s="176">
        <f t="shared" si="31"/>
        <v>0.93984525142364239</v>
      </c>
      <c r="AR53" s="176">
        <f t="shared" si="31"/>
        <v>0.92703411592576646</v>
      </c>
      <c r="AS53" s="176">
        <f t="shared" si="31"/>
        <v>0.95358501889733405</v>
      </c>
      <c r="AT53" s="176">
        <f t="shared" si="31"/>
        <v>0.95933056154969643</v>
      </c>
      <c r="AU53" s="176">
        <f t="shared" si="31"/>
        <v>0.94197096595539331</v>
      </c>
      <c r="AV53" s="176">
        <f t="shared" si="31"/>
        <v>0.96125188469575895</v>
      </c>
      <c r="AW53" s="176">
        <f t="shared" si="31"/>
        <v>0.97879496151928636</v>
      </c>
      <c r="AX53" s="176">
        <f t="shared" si="31"/>
        <v>0.99186999023295308</v>
      </c>
      <c r="AY53" s="176">
        <f t="shared" si="31"/>
        <v>1.021078180500836</v>
      </c>
      <c r="AZ53" s="176">
        <f t="shared" si="31"/>
        <v>1.0098257621605475</v>
      </c>
      <c r="BA53" s="176">
        <f t="shared" si="31"/>
        <v>1.0378576992783084</v>
      </c>
      <c r="BB53" s="176">
        <f t="shared" si="31"/>
        <v>1.0386590285164969</v>
      </c>
      <c r="BC53" s="176">
        <f t="shared" si="31"/>
        <v>1.0373101616824323</v>
      </c>
      <c r="BD53" s="176">
        <f t="shared" si="31"/>
        <v>1.0383349811089562</v>
      </c>
      <c r="BE53" s="176">
        <f t="shared" si="31"/>
        <v>1.0331548696025867</v>
      </c>
      <c r="BF53" s="176">
        <f t="shared" si="31"/>
        <v>1.0568099743031469</v>
      </c>
      <c r="BG53" s="176">
        <f t="shared" si="31"/>
        <v>1.0652230873662878</v>
      </c>
      <c r="BH53" s="176">
        <f t="shared" si="31"/>
        <v>1.0522922070169096</v>
      </c>
      <c r="BI53" s="176">
        <f t="shared" si="31"/>
        <v>1.035510514375414</v>
      </c>
      <c r="BJ53" s="176">
        <f t="shared" si="31"/>
        <v>1.0351350398137538</v>
      </c>
      <c r="BK53" s="176">
        <f t="shared" si="31"/>
        <v>1.0386359641235652</v>
      </c>
      <c r="BL53" s="176">
        <f t="shared" si="31"/>
        <v>1.0409227253841762</v>
      </c>
      <c r="BM53" s="176">
        <f t="shared" si="31"/>
        <v>1.0229726445138767</v>
      </c>
      <c r="BN53" s="176">
        <f t="shared" si="31"/>
        <v>1.0358400594969139</v>
      </c>
      <c r="BO53" s="176">
        <f t="shared" si="31"/>
        <v>1.0475893636920941</v>
      </c>
      <c r="BP53" s="176">
        <f t="shared" si="31"/>
        <v>1.0509324882230213</v>
      </c>
      <c r="BQ53" s="176">
        <f t="shared" si="31"/>
        <v>1.0472876006299259</v>
      </c>
      <c r="BR53" s="176">
        <f t="shared" si="31"/>
        <v>1.0459394131593311</v>
      </c>
      <c r="BS53" s="176">
        <f t="shared" si="31"/>
        <v>1.0383331520379355</v>
      </c>
      <c r="BT53" s="176">
        <f t="shared" si="31"/>
        <v>1.0388977774411419</v>
      </c>
      <c r="BU53" s="176">
        <f t="shared" si="31"/>
        <v>1.0386705933827474</v>
      </c>
      <c r="BV53" s="176">
        <f t="shared" si="31"/>
        <v>1.032833296550588</v>
      </c>
      <c r="BW53" s="176">
        <f t="shared" si="31"/>
        <v>1.026706418506808</v>
      </c>
      <c r="BX53" s="176">
        <f t="shared" si="31"/>
        <v>1.0282964225216684</v>
      </c>
      <c r="BY53" s="176">
        <f t="shared" si="31"/>
        <v>1.0243219985113607</v>
      </c>
      <c r="BZ53" s="176">
        <f t="shared" si="31"/>
        <v>1.0081552941945164</v>
      </c>
      <c r="CA53" s="176">
        <f t="shared" si="31"/>
        <v>1.000011653504548</v>
      </c>
      <c r="CB53" s="176">
        <f t="shared" ref="CB53:DO53" si="32">CB16/BP16</f>
        <v>1.0148798934812264</v>
      </c>
      <c r="CC53" s="176">
        <f t="shared" si="32"/>
        <v>1.0061773202727453</v>
      </c>
      <c r="CD53" s="176">
        <f t="shared" si="32"/>
        <v>1.0185955773301223</v>
      </c>
      <c r="CE53" s="176">
        <f t="shared" si="32"/>
        <v>1.0200792597657549</v>
      </c>
      <c r="CF53" s="176">
        <f t="shared" si="32"/>
        <v>0.99378941145706445</v>
      </c>
      <c r="CG53" s="176">
        <f t="shared" si="32"/>
        <v>1.0140780638760474</v>
      </c>
      <c r="CH53" s="176">
        <f t="shared" si="32"/>
        <v>1.0200268919193629</v>
      </c>
      <c r="CI53" s="176">
        <f t="shared" si="32"/>
        <v>1.0159051737348994</v>
      </c>
      <c r="CJ53" s="176">
        <f t="shared" si="32"/>
        <v>1.0260788343990324</v>
      </c>
      <c r="CK53" s="176">
        <f t="shared" si="32"/>
        <v>1.0322540614544939</v>
      </c>
      <c r="CL53" s="176">
        <f t="shared" si="32"/>
        <v>1.0243661040399248</v>
      </c>
      <c r="CM53" s="176">
        <f t="shared" si="32"/>
        <v>1.0345758761185659</v>
      </c>
      <c r="CN53" s="176">
        <f t="shared" si="32"/>
        <v>1.0405676183609203</v>
      </c>
      <c r="CO53" s="176">
        <f t="shared" si="32"/>
        <v>1.0397545488917865</v>
      </c>
      <c r="CP53" s="176">
        <f t="shared" si="32"/>
        <v>1.0413287889472433</v>
      </c>
      <c r="CQ53" s="176">
        <f t="shared" si="32"/>
        <v>1.040535038802604</v>
      </c>
      <c r="CR53" s="176">
        <f t="shared" si="32"/>
        <v>1.0715235443570359</v>
      </c>
      <c r="CS53" s="176">
        <f t="shared" si="32"/>
        <v>1.0895673245153148</v>
      </c>
      <c r="CT53" s="176">
        <f t="shared" si="32"/>
        <v>1.0665600527639609</v>
      </c>
      <c r="CU53" s="176">
        <f t="shared" si="32"/>
        <v>1.0944415673427024</v>
      </c>
      <c r="CV53" s="176">
        <f t="shared" si="32"/>
        <v>1.0805983764751594</v>
      </c>
      <c r="CW53" s="176">
        <f t="shared" si="32"/>
        <v>1.0676902177103644</v>
      </c>
      <c r="CX53" s="176">
        <f t="shared" si="32"/>
        <v>1.0857967282484768</v>
      </c>
      <c r="CY53" s="176">
        <f t="shared" si="32"/>
        <v>1.0686486959293908</v>
      </c>
      <c r="CZ53" s="176">
        <f t="shared" si="32"/>
        <v>1.0575932085782387</v>
      </c>
      <c r="DA53" s="176">
        <f t="shared" si="32"/>
        <v>1.0688952400243641</v>
      </c>
      <c r="DB53" s="176">
        <f t="shared" si="32"/>
        <v>1.0788885439560809</v>
      </c>
      <c r="DC53" s="176">
        <f t="shared" si="32"/>
        <v>1.0795781506725646</v>
      </c>
      <c r="DD53" s="176">
        <f t="shared" si="32"/>
        <v>1.087859129908739</v>
      </c>
      <c r="DE53" s="176">
        <f t="shared" si="32"/>
        <v>1.0505788960372517</v>
      </c>
      <c r="DF53" s="176">
        <f t="shared" si="32"/>
        <v>1.0702919495352174</v>
      </c>
      <c r="DG53" s="176">
        <f t="shared" si="32"/>
        <v>1.0353585552365612</v>
      </c>
      <c r="DH53" s="176">
        <f t="shared" si="32"/>
        <v>1.0432082116254937</v>
      </c>
      <c r="DI53" s="176">
        <f t="shared" si="32"/>
        <v>1.0679699030916223</v>
      </c>
      <c r="DJ53" s="176">
        <f t="shared" si="32"/>
        <v>1.0625637628621831</v>
      </c>
      <c r="DK53" s="176">
        <f t="shared" si="32"/>
        <v>1.0789239619514102</v>
      </c>
      <c r="DL53" s="176">
        <f t="shared" si="32"/>
        <v>1.0685110446310557</v>
      </c>
      <c r="DM53" s="176">
        <f t="shared" si="32"/>
        <v>1.0579569717748838</v>
      </c>
      <c r="DN53" s="176">
        <f t="shared" si="32"/>
        <v>1.0512133313461189</v>
      </c>
      <c r="DO53" s="176">
        <f t="shared" si="32"/>
        <v>1.058763107358238</v>
      </c>
      <c r="DP53" s="167">
        <f t="shared" si="19"/>
        <v>6.2421862152823859E-2</v>
      </c>
    </row>
    <row r="54" spans="3:121" s="170" customFormat="1" x14ac:dyDescent="0.3">
      <c r="C54" s="177" t="s">
        <v>5</v>
      </c>
      <c r="D54" s="177"/>
      <c r="E54" s="177"/>
      <c r="F54" s="177"/>
      <c r="G54" s="177"/>
      <c r="H54" s="177"/>
      <c r="I54" s="177"/>
      <c r="J54" s="177"/>
      <c r="K54" s="177"/>
      <c r="L54" s="177"/>
      <c r="M54" s="177"/>
      <c r="N54" s="177"/>
      <c r="P54" s="176">
        <f t="shared" ref="P54:CA55" si="33">P14/D14</f>
        <v>1.1274064378184079</v>
      </c>
      <c r="Q54" s="176">
        <f t="shared" si="33"/>
        <v>1.1324893605892394</v>
      </c>
      <c r="R54" s="176">
        <f t="shared" si="33"/>
        <v>1.1167604440558485</v>
      </c>
      <c r="S54" s="176">
        <f t="shared" si="33"/>
        <v>1.1419998425024505</v>
      </c>
      <c r="T54" s="176">
        <f t="shared" si="33"/>
        <v>1.1255804743423115</v>
      </c>
      <c r="U54" s="176">
        <f t="shared" si="33"/>
        <v>1.1102001611492627</v>
      </c>
      <c r="V54" s="176">
        <f t="shared" si="33"/>
        <v>1.1165313749351404</v>
      </c>
      <c r="W54" s="176">
        <f t="shared" si="33"/>
        <v>1.1159417592063836</v>
      </c>
      <c r="X54" s="176">
        <f t="shared" si="33"/>
        <v>1.1116823438708823</v>
      </c>
      <c r="Y54" s="176">
        <f t="shared" si="33"/>
        <v>1.1140550498466943</v>
      </c>
      <c r="Z54" s="176">
        <f t="shared" si="33"/>
        <v>1.0996116318746494</v>
      </c>
      <c r="AA54" s="176">
        <f t="shared" si="33"/>
        <v>1.096244263912133</v>
      </c>
      <c r="AB54" s="176">
        <f t="shared" si="33"/>
        <v>1.075717482133097</v>
      </c>
      <c r="AC54" s="176">
        <f t="shared" si="33"/>
        <v>1.0650341151721219</v>
      </c>
      <c r="AD54" s="176">
        <f t="shared" si="33"/>
        <v>1.0575371409489265</v>
      </c>
      <c r="AE54" s="176">
        <f t="shared" si="33"/>
        <v>1.0298718923750829</v>
      </c>
      <c r="AF54" s="176">
        <f t="shared" si="33"/>
        <v>1.0260864906732829</v>
      </c>
      <c r="AG54" s="176">
        <f t="shared" si="33"/>
        <v>1.0191237874589929</v>
      </c>
      <c r="AH54" s="176">
        <f t="shared" si="33"/>
        <v>0.98269077642588765</v>
      </c>
      <c r="AI54" s="176">
        <f t="shared" si="33"/>
        <v>0.98280847181325748</v>
      </c>
      <c r="AJ54" s="176">
        <f t="shared" si="33"/>
        <v>0.99412255414635009</v>
      </c>
      <c r="AK54" s="176">
        <f t="shared" si="33"/>
        <v>0.97766476122359569</v>
      </c>
      <c r="AL54" s="176">
        <f t="shared" si="33"/>
        <v>0.96095043436612093</v>
      </c>
      <c r="AM54" s="176">
        <f t="shared" si="33"/>
        <v>0.93818266335531686</v>
      </c>
      <c r="AN54" s="176">
        <f t="shared" si="33"/>
        <v>0.94220452400839372</v>
      </c>
      <c r="AO54" s="176">
        <f t="shared" si="33"/>
        <v>0.93368842616624714</v>
      </c>
      <c r="AP54" s="176">
        <f t="shared" si="33"/>
        <v>0.93819680550013451</v>
      </c>
      <c r="AQ54" s="176">
        <f t="shared" si="33"/>
        <v>0.94326747266444311</v>
      </c>
      <c r="AR54" s="176">
        <f t="shared" si="33"/>
        <v>0.92933510035115885</v>
      </c>
      <c r="AS54" s="176">
        <f t="shared" si="33"/>
        <v>0.95650896473039537</v>
      </c>
      <c r="AT54" s="176">
        <f t="shared" si="33"/>
        <v>0.959159009404151</v>
      </c>
      <c r="AU54" s="176">
        <f t="shared" si="33"/>
        <v>0.94022289656122404</v>
      </c>
      <c r="AV54" s="176">
        <f t="shared" si="33"/>
        <v>0.95689837180679782</v>
      </c>
      <c r="AW54" s="176">
        <f t="shared" si="33"/>
        <v>0.96961433342736325</v>
      </c>
      <c r="AX54" s="176">
        <f t="shared" si="33"/>
        <v>0.98425423734195827</v>
      </c>
      <c r="AY54" s="176">
        <f t="shared" si="33"/>
        <v>1.0121022294348234</v>
      </c>
      <c r="AZ54" s="176">
        <f t="shared" si="33"/>
        <v>1.0032050765101559</v>
      </c>
      <c r="BA54" s="176">
        <f t="shared" si="33"/>
        <v>1.0370100347449775</v>
      </c>
      <c r="BB54" s="176">
        <f t="shared" si="33"/>
        <v>1.0322523181546917</v>
      </c>
      <c r="BC54" s="176">
        <f t="shared" si="33"/>
        <v>1.0309787984346275</v>
      </c>
      <c r="BD54" s="176">
        <f t="shared" si="33"/>
        <v>1.0317557097614893</v>
      </c>
      <c r="BE54" s="176">
        <f t="shared" si="33"/>
        <v>1.0296075058565664</v>
      </c>
      <c r="BF54" s="176">
        <f t="shared" si="33"/>
        <v>1.0501139023752686</v>
      </c>
      <c r="BG54" s="176">
        <f t="shared" si="33"/>
        <v>1.0630672326839781</v>
      </c>
      <c r="BH54" s="176">
        <f t="shared" si="33"/>
        <v>1.0520551946508441</v>
      </c>
      <c r="BI54" s="176">
        <f t="shared" si="33"/>
        <v>1.033367938869618</v>
      </c>
      <c r="BJ54" s="176">
        <f t="shared" si="33"/>
        <v>1.0293880861138378</v>
      </c>
      <c r="BK54" s="176">
        <f t="shared" si="33"/>
        <v>1.0384270468425465</v>
      </c>
      <c r="BL54" s="176">
        <f t="shared" si="33"/>
        <v>1.036567535942746</v>
      </c>
      <c r="BM54" s="176">
        <f t="shared" si="33"/>
        <v>1.0157696579324962</v>
      </c>
      <c r="BN54" s="176">
        <f t="shared" si="33"/>
        <v>1.0363151631773193</v>
      </c>
      <c r="BO54" s="176">
        <f t="shared" si="33"/>
        <v>1.0444874113005407</v>
      </c>
      <c r="BP54" s="176">
        <f t="shared" si="33"/>
        <v>1.045741131686323</v>
      </c>
      <c r="BQ54" s="176">
        <f t="shared" si="33"/>
        <v>1.0419429803068603</v>
      </c>
      <c r="BR54" s="176">
        <f t="shared" si="33"/>
        <v>1.0393265480560947</v>
      </c>
      <c r="BS54" s="176">
        <f t="shared" si="33"/>
        <v>1.0315726354639698</v>
      </c>
      <c r="BT54" s="176">
        <f t="shared" si="33"/>
        <v>1.0316961065526764</v>
      </c>
      <c r="BU54" s="176">
        <f t="shared" si="33"/>
        <v>1.0335106166426991</v>
      </c>
      <c r="BV54" s="176">
        <f t="shared" si="33"/>
        <v>1.0283187855176228</v>
      </c>
      <c r="BW54" s="176">
        <f t="shared" si="33"/>
        <v>1.0220249719757561</v>
      </c>
      <c r="BX54" s="176">
        <f t="shared" si="33"/>
        <v>1.0235876042935088</v>
      </c>
      <c r="BY54" s="176">
        <f t="shared" si="33"/>
        <v>1.0168668647841983</v>
      </c>
      <c r="BZ54" s="176">
        <f t="shared" si="33"/>
        <v>0.99695347742190021</v>
      </c>
      <c r="CA54" s="176">
        <f t="shared" si="33"/>
        <v>0.98893253352949961</v>
      </c>
      <c r="CB54" s="176">
        <f t="shared" ref="CB54:DO55" si="34">CB14/BP14</f>
        <v>1.009407527856476</v>
      </c>
      <c r="CC54" s="176">
        <f t="shared" si="34"/>
        <v>0.99553809353281519</v>
      </c>
      <c r="CD54" s="176">
        <f t="shared" si="34"/>
        <v>1.0107811734349084</v>
      </c>
      <c r="CE54" s="176">
        <f t="shared" si="34"/>
        <v>1.0144034459573106</v>
      </c>
      <c r="CF54" s="176">
        <f t="shared" si="34"/>
        <v>0.97682144339538568</v>
      </c>
      <c r="CG54" s="176">
        <f t="shared" si="34"/>
        <v>1.0051128166777519</v>
      </c>
      <c r="CH54" s="176">
        <f t="shared" si="34"/>
        <v>1.0140622361813461</v>
      </c>
      <c r="CI54" s="176">
        <f t="shared" si="34"/>
        <v>1.0061765998358589</v>
      </c>
      <c r="CJ54" s="176">
        <f t="shared" si="34"/>
        <v>1.0204886099437822</v>
      </c>
      <c r="CK54" s="176">
        <f t="shared" si="34"/>
        <v>1.0285246400966328</v>
      </c>
      <c r="CL54" s="176">
        <f t="shared" si="34"/>
        <v>1.0200935973474288</v>
      </c>
      <c r="CM54" s="176">
        <f t="shared" si="34"/>
        <v>1.0404069358860537</v>
      </c>
      <c r="CN54" s="176">
        <f t="shared" si="34"/>
        <v>1.0479501747143307</v>
      </c>
      <c r="CO54" s="176">
        <f t="shared" si="34"/>
        <v>1.0427477097938602</v>
      </c>
      <c r="CP54" s="176">
        <f t="shared" si="34"/>
        <v>1.0430637828388414</v>
      </c>
      <c r="CQ54" s="176">
        <f t="shared" si="34"/>
        <v>1.0371142129826652</v>
      </c>
      <c r="CR54" s="176">
        <f t="shared" si="34"/>
        <v>1.0743628354854946</v>
      </c>
      <c r="CS54" s="176">
        <f t="shared" si="34"/>
        <v>1.0886050761988846</v>
      </c>
      <c r="CT54" s="176">
        <f t="shared" si="34"/>
        <v>1.0563056552906405</v>
      </c>
      <c r="CU54" s="176">
        <f t="shared" si="34"/>
        <v>1.0906823002451655</v>
      </c>
      <c r="CV54" s="176">
        <f t="shared" si="34"/>
        <v>1.0764429810403613</v>
      </c>
      <c r="CW54" s="176">
        <f t="shared" si="34"/>
        <v>1.0600316799433296</v>
      </c>
      <c r="CX54" s="176">
        <f t="shared" si="34"/>
        <v>1.0810637447981029</v>
      </c>
      <c r="CY54" s="176">
        <f t="shared" si="34"/>
        <v>1.0550422898106737</v>
      </c>
      <c r="CZ54" s="176">
        <f t="shared" si="34"/>
        <v>1.0356640921796563</v>
      </c>
      <c r="DA54" s="176">
        <f t="shared" si="34"/>
        <v>1.0547992886187429</v>
      </c>
      <c r="DB54" s="176">
        <f t="shared" si="34"/>
        <v>1.0680390752936992</v>
      </c>
      <c r="DC54" s="176">
        <f t="shared" si="34"/>
        <v>1.0716870296747967</v>
      </c>
      <c r="DD54" s="176">
        <f t="shared" si="34"/>
        <v>1.0861193097709589</v>
      </c>
      <c r="DE54" s="176">
        <f t="shared" si="34"/>
        <v>1.0460939125299131</v>
      </c>
      <c r="DF54" s="176">
        <f t="shared" si="34"/>
        <v>1.0752761173310217</v>
      </c>
      <c r="DG54" s="176">
        <f t="shared" si="34"/>
        <v>1.0315844170534827</v>
      </c>
      <c r="DH54" s="176">
        <f t="shared" si="34"/>
        <v>1.0411091606476748</v>
      </c>
      <c r="DI54" s="176">
        <f t="shared" si="34"/>
        <v>1.0738283544184073</v>
      </c>
      <c r="DJ54" s="176">
        <f t="shared" si="34"/>
        <v>1.0641777798910586</v>
      </c>
      <c r="DK54" s="176">
        <f t="shared" si="34"/>
        <v>1.0839953715780857</v>
      </c>
      <c r="DL54" s="176">
        <f t="shared" si="34"/>
        <v>1.0773387663349607</v>
      </c>
      <c r="DM54" s="176">
        <f t="shared" si="34"/>
        <v>1.0635103993568673</v>
      </c>
      <c r="DN54" s="176">
        <f t="shared" si="34"/>
        <v>1.0555813497764595</v>
      </c>
      <c r="DO54" s="176">
        <f t="shared" si="34"/>
        <v>1.0632302076012179</v>
      </c>
      <c r="DP54" s="167">
        <f t="shared" si="19"/>
        <v>6.3997283827866402E-2</v>
      </c>
    </row>
    <row r="55" spans="3:121" s="170" customFormat="1" x14ac:dyDescent="0.3">
      <c r="C55" s="170" t="s">
        <v>6</v>
      </c>
      <c r="P55" s="176">
        <f t="shared" si="33"/>
        <v>1.1091291963593055</v>
      </c>
      <c r="Q55" s="176">
        <f t="shared" si="33"/>
        <v>1.0951180169589503</v>
      </c>
      <c r="R55" s="176">
        <f t="shared" si="33"/>
        <v>1.1307526438444635</v>
      </c>
      <c r="S55" s="176">
        <f t="shared" si="33"/>
        <v>1.1346551531246651</v>
      </c>
      <c r="T55" s="176">
        <f t="shared" si="33"/>
        <v>1.1130259402117888</v>
      </c>
      <c r="U55" s="176">
        <f t="shared" si="33"/>
        <v>1.1288953232408598</v>
      </c>
      <c r="V55" s="176">
        <f t="shared" si="33"/>
        <v>1.1393909651120764</v>
      </c>
      <c r="W55" s="176">
        <f t="shared" si="33"/>
        <v>1.1483251769055407</v>
      </c>
      <c r="X55" s="176">
        <f t="shared" si="33"/>
        <v>1.1672129694049316</v>
      </c>
      <c r="Y55" s="176">
        <f t="shared" si="33"/>
        <v>1.138978308388173</v>
      </c>
      <c r="Z55" s="176">
        <f t="shared" si="33"/>
        <v>1.1141799567354076</v>
      </c>
      <c r="AA55" s="176">
        <f t="shared" si="33"/>
        <v>1.1040820840542902</v>
      </c>
      <c r="AB55" s="176">
        <f t="shared" si="33"/>
        <v>1.104876932242113</v>
      </c>
      <c r="AC55" s="176">
        <f t="shared" si="33"/>
        <v>1.110833111163535</v>
      </c>
      <c r="AD55" s="176">
        <f t="shared" si="33"/>
        <v>1.0918604596810748</v>
      </c>
      <c r="AE55" s="176">
        <f t="shared" si="33"/>
        <v>1.0722998219414377</v>
      </c>
      <c r="AF55" s="176">
        <f t="shared" si="33"/>
        <v>1.0575825158755587</v>
      </c>
      <c r="AG55" s="176">
        <f t="shared" si="33"/>
        <v>1.0269666355195963</v>
      </c>
      <c r="AH55" s="176">
        <f t="shared" si="33"/>
        <v>0.97386473378448657</v>
      </c>
      <c r="AI55" s="176">
        <f t="shared" si="33"/>
        <v>0.96915861061113828</v>
      </c>
      <c r="AJ55" s="176">
        <f t="shared" si="33"/>
        <v>0.9307181445222299</v>
      </c>
      <c r="AK55" s="176">
        <f t="shared" si="33"/>
        <v>0.92070478789442167</v>
      </c>
      <c r="AL55" s="176">
        <f t="shared" si="33"/>
        <v>0.90469477019663147</v>
      </c>
      <c r="AM55" s="176">
        <f t="shared" si="33"/>
        <v>0.87148000536438852</v>
      </c>
      <c r="AN55" s="176">
        <f t="shared" si="33"/>
        <v>0.91652631350128499</v>
      </c>
      <c r="AO55" s="176">
        <f t="shared" si="33"/>
        <v>0.93880339882850583</v>
      </c>
      <c r="AP55" s="176">
        <f t="shared" si="33"/>
        <v>0.97008203431835172</v>
      </c>
      <c r="AQ55" s="176">
        <f t="shared" si="33"/>
        <v>0.98476341199592221</v>
      </c>
      <c r="AR55" s="176">
        <f t="shared" si="33"/>
        <v>0.9851694342374494</v>
      </c>
      <c r="AS55" s="176">
        <f t="shared" si="33"/>
        <v>1.0167870145360907</v>
      </c>
      <c r="AT55" s="176">
        <f t="shared" si="33"/>
        <v>1.0240545929204368</v>
      </c>
      <c r="AU55" s="176">
        <f t="shared" si="33"/>
        <v>1.0505668885741284</v>
      </c>
      <c r="AV55" s="176">
        <f t="shared" si="33"/>
        <v>1.0970531725886221</v>
      </c>
      <c r="AW55" s="176">
        <f t="shared" si="33"/>
        <v>1.1143231475014748</v>
      </c>
      <c r="AX55" s="176">
        <f t="shared" si="33"/>
        <v>1.1335871506594921</v>
      </c>
      <c r="AY55" s="176">
        <f t="shared" si="33"/>
        <v>1.1983178053598027</v>
      </c>
      <c r="AZ55" s="176">
        <f t="shared" si="33"/>
        <v>1.144401492657011</v>
      </c>
      <c r="BA55" s="176">
        <f t="shared" si="33"/>
        <v>1.1235074367389901</v>
      </c>
      <c r="BB55" s="176">
        <f t="shared" si="33"/>
        <v>1.1227044759289426</v>
      </c>
      <c r="BC55" s="176">
        <f t="shared" si="33"/>
        <v>1.1223534272934905</v>
      </c>
      <c r="BD55" s="176">
        <f t="shared" si="33"/>
        <v>1.1114609252380303</v>
      </c>
      <c r="BE55" s="176">
        <f t="shared" si="33"/>
        <v>1.1028353466591372</v>
      </c>
      <c r="BF55" s="176">
        <f t="shared" si="33"/>
        <v>1.1183159252378903</v>
      </c>
      <c r="BG55" s="176">
        <f t="shared" si="33"/>
        <v>1.0773694405700212</v>
      </c>
      <c r="BH55" s="176">
        <f t="shared" si="33"/>
        <v>1.0457984163899281</v>
      </c>
      <c r="BI55" s="176">
        <f t="shared" si="33"/>
        <v>1.0588667106845289</v>
      </c>
      <c r="BJ55" s="176">
        <f t="shared" si="33"/>
        <v>1.0760546792590477</v>
      </c>
      <c r="BK55" s="176">
        <f t="shared" si="33"/>
        <v>1.0424373134657023</v>
      </c>
      <c r="BL55" s="176">
        <f t="shared" si="33"/>
        <v>1.0536478624180845</v>
      </c>
      <c r="BM55" s="176">
        <f t="shared" si="33"/>
        <v>1.0555131396299271</v>
      </c>
      <c r="BN55" s="176">
        <f t="shared" si="33"/>
        <v>1.0333263461651869</v>
      </c>
      <c r="BO55" s="176">
        <f t="shared" si="33"/>
        <v>1.0293302903384198</v>
      </c>
      <c r="BP55" s="176">
        <f t="shared" si="33"/>
        <v>1.0440613481919268</v>
      </c>
      <c r="BQ55" s="176">
        <f t="shared" si="33"/>
        <v>1.0309307839588981</v>
      </c>
      <c r="BR55" s="176">
        <f t="shared" si="33"/>
        <v>1.0493297784832429</v>
      </c>
      <c r="BS55" s="176">
        <f t="shared" si="33"/>
        <v>1.0580417330764602</v>
      </c>
      <c r="BT55" s="176">
        <f t="shared" si="33"/>
        <v>1.0580896291941828</v>
      </c>
      <c r="BU55" s="176">
        <f t="shared" si="33"/>
        <v>1.0400166103602213</v>
      </c>
      <c r="BV55" s="176">
        <f t="shared" si="33"/>
        <v>1.0317943502259175</v>
      </c>
      <c r="BW55" s="176">
        <f t="shared" si="33"/>
        <v>1.0164392766064458</v>
      </c>
      <c r="BX55" s="176">
        <f t="shared" si="33"/>
        <v>1.0250582938204105</v>
      </c>
      <c r="BY55" s="176">
        <f t="shared" si="33"/>
        <v>1.034006758033901</v>
      </c>
      <c r="BZ55" s="176">
        <f t="shared" si="33"/>
        <v>1.0266898578813637</v>
      </c>
      <c r="CA55" s="176">
        <f t="shared" si="33"/>
        <v>1.062629255587074</v>
      </c>
      <c r="CB55" s="176">
        <f t="shared" si="34"/>
        <v>1.0504843420275212</v>
      </c>
      <c r="CC55" s="176">
        <f t="shared" si="34"/>
        <v>1.0579719609625855</v>
      </c>
      <c r="CD55" s="176">
        <f t="shared" si="34"/>
        <v>1.0649342514466908</v>
      </c>
      <c r="CE55" s="176">
        <f t="shared" si="34"/>
        <v>1.0661206832796124</v>
      </c>
      <c r="CF55" s="176">
        <f t="shared" si="34"/>
        <v>1.0874480199819754</v>
      </c>
      <c r="CG55" s="176">
        <f t="shared" si="34"/>
        <v>1.0842354178721105</v>
      </c>
      <c r="CH55" s="176">
        <f t="shared" si="34"/>
        <v>1.0703136370656241</v>
      </c>
      <c r="CI55" s="176">
        <f t="shared" si="34"/>
        <v>1.1129326339669683</v>
      </c>
      <c r="CJ55" s="176">
        <f t="shared" si="34"/>
        <v>1.1118675548072647</v>
      </c>
      <c r="CK55" s="176">
        <f t="shared" si="34"/>
        <v>1.1099713407691496</v>
      </c>
      <c r="CL55" s="176">
        <f t="shared" si="34"/>
        <v>1.0724256232215936</v>
      </c>
      <c r="CM55" s="176">
        <f t="shared" si="34"/>
        <v>1.0484653771338845</v>
      </c>
      <c r="CN55" s="176">
        <f t="shared" si="34"/>
        <v>1.0654544245057636</v>
      </c>
      <c r="CO55" s="176">
        <f t="shared" si="34"/>
        <v>1.0757258645187544</v>
      </c>
      <c r="CP55" s="176">
        <f t="shared" si="34"/>
        <v>1.071613572902989</v>
      </c>
      <c r="CQ55" s="176">
        <f t="shared" si="34"/>
        <v>1.0824238012564342</v>
      </c>
      <c r="CR55" s="176">
        <f t="shared" si="34"/>
        <v>1.0913843578952085</v>
      </c>
      <c r="CS55" s="176">
        <f t="shared" si="34"/>
        <v>1.1271431427856637</v>
      </c>
      <c r="CT55" s="176">
        <f t="shared" si="34"/>
        <v>1.1293765267131353</v>
      </c>
      <c r="CU55" s="176">
        <f t="shared" si="34"/>
        <v>1.1242756002694283</v>
      </c>
      <c r="CV55" s="176">
        <f t="shared" si="34"/>
        <v>1.1199846563146882</v>
      </c>
      <c r="CW55" s="176">
        <f t="shared" si="34"/>
        <v>1.1016932354945994</v>
      </c>
      <c r="CX55" s="176">
        <f t="shared" si="34"/>
        <v>1.1569600098224655</v>
      </c>
      <c r="CY55" s="176">
        <f t="shared" si="34"/>
        <v>1.1634661556012453</v>
      </c>
      <c r="CZ55" s="176">
        <f t="shared" si="34"/>
        <v>1.1690348581826508</v>
      </c>
      <c r="DA55" s="176">
        <f t="shared" si="34"/>
        <v>1.1572114805327292</v>
      </c>
      <c r="DB55" s="176">
        <f t="shared" si="34"/>
        <v>1.1499340644559872</v>
      </c>
      <c r="DC55" s="176">
        <f t="shared" si="34"/>
        <v>1.1452826131868821</v>
      </c>
      <c r="DD55" s="176">
        <f t="shared" si="34"/>
        <v>1.1372959658112667</v>
      </c>
      <c r="DE55" s="176">
        <f t="shared" si="34"/>
        <v>1.1196016031309113</v>
      </c>
      <c r="DF55" s="176">
        <f t="shared" si="34"/>
        <v>1.1220693718047516</v>
      </c>
      <c r="DG55" s="176">
        <f t="shared" si="34"/>
        <v>1.1187846699922774</v>
      </c>
      <c r="DH55" s="176">
        <f t="shared" si="34"/>
        <v>1.1061817402840437</v>
      </c>
      <c r="DI55" s="176">
        <f t="shared" si="34"/>
        <v>1.1215198933345507</v>
      </c>
      <c r="DJ55" s="176">
        <f t="shared" si="34"/>
        <v>1.1180203771129038</v>
      </c>
      <c r="DK55" s="176">
        <f t="shared" si="34"/>
        <v>1.0986626600714411</v>
      </c>
      <c r="DL55" s="176">
        <f t="shared" si="34"/>
        <v>1.0898974238417163</v>
      </c>
      <c r="DM55" s="176">
        <f t="shared" si="34"/>
        <v>1.0810089951816508</v>
      </c>
      <c r="DN55" s="176">
        <f t="shared" si="34"/>
        <v>1.0764279275993085</v>
      </c>
      <c r="DO55" s="176">
        <f t="shared" si="34"/>
        <v>1.0868865390188764</v>
      </c>
      <c r="DP55" s="167">
        <f t="shared" si="19"/>
        <v>0.10916450983018233</v>
      </c>
    </row>
    <row r="56" spans="3:121" s="170" customFormat="1" x14ac:dyDescent="0.3">
      <c r="C56" s="170" t="s">
        <v>104</v>
      </c>
      <c r="P56" s="176">
        <f t="shared" ref="P56:CA58" si="35">P19/D19</f>
        <v>1.0708290215016671</v>
      </c>
      <c r="Q56" s="176">
        <f t="shared" si="35"/>
        <v>1.0715282762034402</v>
      </c>
      <c r="R56" s="176">
        <f t="shared" si="35"/>
        <v>1.0952506436278231</v>
      </c>
      <c r="S56" s="176">
        <f t="shared" si="35"/>
        <v>1.1089467670971784</v>
      </c>
      <c r="T56" s="176">
        <f t="shared" si="35"/>
        <v>1.0955785276450931</v>
      </c>
      <c r="U56" s="176">
        <f t="shared" si="35"/>
        <v>1.0923388026449372</v>
      </c>
      <c r="V56" s="176">
        <f t="shared" si="35"/>
        <v>1.094268639035626</v>
      </c>
      <c r="W56" s="176">
        <f t="shared" si="35"/>
        <v>1.0906127145939524</v>
      </c>
      <c r="X56" s="176">
        <f t="shared" si="35"/>
        <v>1.0891155739737186</v>
      </c>
      <c r="Y56" s="176">
        <f t="shared" si="35"/>
        <v>1.0841426668539536</v>
      </c>
      <c r="Z56" s="176">
        <f t="shared" si="35"/>
        <v>1.0822805417759731</v>
      </c>
      <c r="AA56" s="176">
        <f t="shared" si="35"/>
        <v>1.0972918843268082</v>
      </c>
      <c r="AB56" s="176">
        <f t="shared" si="35"/>
        <v>1.0900031235772423</v>
      </c>
      <c r="AC56" s="176">
        <f t="shared" si="35"/>
        <v>1.0809096057910528</v>
      </c>
      <c r="AD56" s="176">
        <f t="shared" si="35"/>
        <v>1.0534485375974092</v>
      </c>
      <c r="AE56" s="176">
        <f t="shared" si="35"/>
        <v>1.0737007167930706</v>
      </c>
      <c r="AF56" s="176">
        <f t="shared" si="35"/>
        <v>1.068539900610437</v>
      </c>
      <c r="AG56" s="176">
        <f t="shared" si="35"/>
        <v>1.0615135924699719</v>
      </c>
      <c r="AH56" s="176">
        <f t="shared" si="35"/>
        <v>1.0329183360578105</v>
      </c>
      <c r="AI56" s="176">
        <f t="shared" si="35"/>
        <v>1.0537696452050056</v>
      </c>
      <c r="AJ56" s="176">
        <f t="shared" si="35"/>
        <v>1.074276898464249</v>
      </c>
      <c r="AK56" s="176">
        <f t="shared" si="35"/>
        <v>1.0589271680687957</v>
      </c>
      <c r="AL56" s="176">
        <f t="shared" si="35"/>
        <v>1.062542412290425</v>
      </c>
      <c r="AM56" s="176">
        <f t="shared" si="35"/>
        <v>1.0491003549236795</v>
      </c>
      <c r="AN56" s="176">
        <f t="shared" si="35"/>
        <v>1.0628212519152958</v>
      </c>
      <c r="AO56" s="176">
        <f t="shared" si="35"/>
        <v>1.0695127342692914</v>
      </c>
      <c r="AP56" s="176">
        <f t="shared" si="35"/>
        <v>1.073968005666291</v>
      </c>
      <c r="AQ56" s="176">
        <f t="shared" si="35"/>
        <v>1.0455440427476117</v>
      </c>
      <c r="AR56" s="176">
        <f t="shared" si="35"/>
        <v>1.0163042263945015</v>
      </c>
      <c r="AS56" s="176">
        <f t="shared" si="35"/>
        <v>1.0573593507545693</v>
      </c>
      <c r="AT56" s="176">
        <f t="shared" si="35"/>
        <v>1.051303503577357</v>
      </c>
      <c r="AU56" s="176">
        <f t="shared" si="35"/>
        <v>1.0278307484226985</v>
      </c>
      <c r="AV56" s="176">
        <f t="shared" si="35"/>
        <v>1.0096487419044127</v>
      </c>
      <c r="AW56" s="176">
        <f t="shared" si="35"/>
        <v>1.0238139509192721</v>
      </c>
      <c r="AX56" s="176">
        <f t="shared" si="35"/>
        <v>1.0191972850956288</v>
      </c>
      <c r="AY56" s="176">
        <f t="shared" si="35"/>
        <v>1.0206687992620567</v>
      </c>
      <c r="AZ56" s="176">
        <f t="shared" si="35"/>
        <v>1.0034707825800142</v>
      </c>
      <c r="BA56" s="176">
        <f t="shared" si="35"/>
        <v>1.0075377621567998</v>
      </c>
      <c r="BB56" s="176">
        <f t="shared" si="35"/>
        <v>1.0146393682009069</v>
      </c>
      <c r="BC56" s="176">
        <f t="shared" si="35"/>
        <v>1.0087547181697438</v>
      </c>
      <c r="BD56" s="176">
        <f t="shared" si="35"/>
        <v>1.0279629111802011</v>
      </c>
      <c r="BE56" s="176">
        <f t="shared" si="35"/>
        <v>0.98711575364597026</v>
      </c>
      <c r="BF56" s="176">
        <f t="shared" si="35"/>
        <v>1.0149400320746811</v>
      </c>
      <c r="BG56" s="176">
        <f t="shared" si="35"/>
        <v>1.0193566894034889</v>
      </c>
      <c r="BH56" s="176">
        <f t="shared" si="35"/>
        <v>1.071987880350018</v>
      </c>
      <c r="BI56" s="176">
        <f t="shared" si="35"/>
        <v>1.0764113640598152</v>
      </c>
      <c r="BJ56" s="176">
        <f t="shared" si="35"/>
        <v>1.0753134006161285</v>
      </c>
      <c r="BK56" s="176">
        <f t="shared" si="35"/>
        <v>1.0773336017271475</v>
      </c>
      <c r="BL56" s="176">
        <f t="shared" si="35"/>
        <v>1.0818444685876449</v>
      </c>
      <c r="BM56" s="176">
        <f t="shared" si="35"/>
        <v>1.0660928396588349</v>
      </c>
      <c r="BN56" s="176">
        <f t="shared" si="35"/>
        <v>1.0670545736876402</v>
      </c>
      <c r="BO56" s="176">
        <f t="shared" si="35"/>
        <v>1.0792786394043214</v>
      </c>
      <c r="BP56" s="176">
        <f t="shared" si="35"/>
        <v>1.0912069347002369</v>
      </c>
      <c r="BQ56" s="176">
        <f t="shared" si="35"/>
        <v>1.0977275126541957</v>
      </c>
      <c r="BR56" s="176">
        <f t="shared" si="35"/>
        <v>1.0974646059841131</v>
      </c>
      <c r="BS56" s="176">
        <f t="shared" si="35"/>
        <v>1.0891931666623555</v>
      </c>
      <c r="BT56" s="176">
        <f t="shared" si="35"/>
        <v>1.0469794060269575</v>
      </c>
      <c r="BU56" s="176">
        <f t="shared" si="35"/>
        <v>1.0467809076882968</v>
      </c>
      <c r="BV56" s="176">
        <f t="shared" si="35"/>
        <v>1.0486040665663485</v>
      </c>
      <c r="BW56" s="176">
        <f t="shared" si="35"/>
        <v>1.053652084451256</v>
      </c>
      <c r="BX56" s="176">
        <f t="shared" si="35"/>
        <v>1.0589465275614558</v>
      </c>
      <c r="BY56" s="176">
        <f t="shared" si="35"/>
        <v>1.0704315942679656</v>
      </c>
      <c r="BZ56" s="176">
        <f t="shared" si="35"/>
        <v>1.0677337320497942</v>
      </c>
      <c r="CA56" s="176">
        <f t="shared" si="35"/>
        <v>1.0702856022530092</v>
      </c>
      <c r="CB56" s="176">
        <f t="shared" ref="CB56:DO58" si="36">CB19/BP19</f>
        <v>1.0699043104141019</v>
      </c>
      <c r="CC56" s="176">
        <f t="shared" si="36"/>
        <v>1.0768850265995289</v>
      </c>
      <c r="CD56" s="176">
        <f t="shared" si="36"/>
        <v>1.0789845726297107</v>
      </c>
      <c r="CE56" s="176">
        <f t="shared" si="36"/>
        <v>1.0974095695523089</v>
      </c>
      <c r="CF56" s="176">
        <f t="shared" si="36"/>
        <v>1.0779754226165246</v>
      </c>
      <c r="CG56" s="176">
        <f t="shared" si="36"/>
        <v>1.0768299057344979</v>
      </c>
      <c r="CH56" s="176">
        <f t="shared" si="36"/>
        <v>1.0774177420964901</v>
      </c>
      <c r="CI56" s="176">
        <f t="shared" si="36"/>
        <v>1.077993239229688</v>
      </c>
      <c r="CJ56" s="176">
        <f t="shared" si="36"/>
        <v>1.0422401304996645</v>
      </c>
      <c r="CK56" s="176">
        <f t="shared" si="36"/>
        <v>1.0255374517404179</v>
      </c>
      <c r="CL56" s="176">
        <f t="shared" si="36"/>
        <v>1.0149071161395238</v>
      </c>
      <c r="CM56" s="176">
        <f t="shared" si="36"/>
        <v>1.0038752984481687</v>
      </c>
      <c r="CN56" s="176">
        <f t="shared" si="36"/>
        <v>1.0052752243565384</v>
      </c>
      <c r="CO56" s="176">
        <f t="shared" si="36"/>
        <v>1.0007609927933172</v>
      </c>
      <c r="CP56" s="176">
        <f t="shared" si="36"/>
        <v>1.0022980753464283</v>
      </c>
      <c r="CQ56" s="176">
        <f t="shared" si="36"/>
        <v>0.9921036681759029</v>
      </c>
      <c r="CR56" s="176">
        <f t="shared" si="36"/>
        <v>1.0002625208716702</v>
      </c>
      <c r="CS56" s="176">
        <f t="shared" si="36"/>
        <v>1.0030710935890328</v>
      </c>
      <c r="CT56" s="176">
        <f t="shared" si="36"/>
        <v>1.0020937747804917</v>
      </c>
      <c r="CU56" s="176">
        <f t="shared" si="36"/>
        <v>1.0066334275875746</v>
      </c>
      <c r="CV56" s="176">
        <f t="shared" si="36"/>
        <v>1.0436401764630869</v>
      </c>
      <c r="CW56" s="176">
        <f t="shared" si="36"/>
        <v>1.0568093662121867</v>
      </c>
      <c r="CX56" s="176">
        <f t="shared" si="36"/>
        <v>1.0713237549155259</v>
      </c>
      <c r="CY56" s="176">
        <f t="shared" si="36"/>
        <v>1.0791405740701829</v>
      </c>
      <c r="CZ56" s="176">
        <f t="shared" si="36"/>
        <v>1.0834104571298808</v>
      </c>
      <c r="DA56" s="176">
        <f t="shared" si="36"/>
        <v>1.0897932798146037</v>
      </c>
      <c r="DB56" s="176">
        <f t="shared" si="36"/>
        <v>1.0915805820701276</v>
      </c>
      <c r="DC56" s="176">
        <f t="shared" si="36"/>
        <v>1.0949881578955436</v>
      </c>
      <c r="DD56" s="176">
        <f t="shared" si="36"/>
        <v>1.0894243156406163</v>
      </c>
      <c r="DE56" s="176">
        <f t="shared" si="36"/>
        <v>1.0875962818827694</v>
      </c>
      <c r="DF56" s="176">
        <f t="shared" si="36"/>
        <v>1.0871250483134738</v>
      </c>
      <c r="DG56" s="176">
        <f t="shared" si="36"/>
        <v>1.0878145304283484</v>
      </c>
      <c r="DH56" s="176">
        <f t="shared" si="36"/>
        <v>1.0778018646420546</v>
      </c>
      <c r="DI56" s="176">
        <f t="shared" si="36"/>
        <v>1.0791464453916082</v>
      </c>
      <c r="DJ56" s="176">
        <f t="shared" si="36"/>
        <v>1.0795208331112824</v>
      </c>
      <c r="DK56" s="176">
        <f t="shared" si="36"/>
        <v>1.0800220344779861</v>
      </c>
      <c r="DL56" s="176">
        <f t="shared" si="36"/>
        <v>1.077583652764609</v>
      </c>
      <c r="DM56" s="176">
        <f t="shared" si="36"/>
        <v>1.0708890492259167</v>
      </c>
      <c r="DN56" s="176">
        <f t="shared" si="36"/>
        <v>1.0709517449991395</v>
      </c>
      <c r="DO56" s="176">
        <f t="shared" si="36"/>
        <v>1.0701375171080383</v>
      </c>
      <c r="DP56" s="167">
        <f t="shared" si="19"/>
        <v>8.0973665958841812E-2</v>
      </c>
    </row>
    <row r="57" spans="3:121" s="170" customFormat="1" x14ac:dyDescent="0.3">
      <c r="C57" s="170" t="s">
        <v>2</v>
      </c>
      <c r="P57" s="176">
        <f t="shared" si="35"/>
        <v>1.0704215693724315</v>
      </c>
      <c r="Q57" s="176">
        <f t="shared" si="35"/>
        <v>1.0712187248461404</v>
      </c>
      <c r="R57" s="176">
        <f t="shared" si="35"/>
        <v>1.0949936355121359</v>
      </c>
      <c r="S57" s="176">
        <f t="shared" si="35"/>
        <v>1.1086117468167176</v>
      </c>
      <c r="T57" s="176">
        <f t="shared" si="35"/>
        <v>1.0953959074040838</v>
      </c>
      <c r="U57" s="176">
        <f t="shared" si="35"/>
        <v>1.09212964562724</v>
      </c>
      <c r="V57" s="176">
        <f t="shared" si="35"/>
        <v>1.0941020630621525</v>
      </c>
      <c r="W57" s="176">
        <f t="shared" si="35"/>
        <v>1.0904982726756587</v>
      </c>
      <c r="X57" s="176">
        <f t="shared" si="35"/>
        <v>1.0890356666749275</v>
      </c>
      <c r="Y57" s="176">
        <f t="shared" si="35"/>
        <v>1.0840583871287173</v>
      </c>
      <c r="Z57" s="176">
        <f t="shared" si="35"/>
        <v>1.0822239637664355</v>
      </c>
      <c r="AA57" s="176">
        <f t="shared" si="35"/>
        <v>1.0976888330478161</v>
      </c>
      <c r="AB57" s="176">
        <f t="shared" si="35"/>
        <v>1.0898612798230571</v>
      </c>
      <c r="AC57" s="176">
        <f t="shared" si="35"/>
        <v>1.0806406199506624</v>
      </c>
      <c r="AD57" s="176">
        <f t="shared" si="35"/>
        <v>1.05304974196252</v>
      </c>
      <c r="AE57" s="176">
        <f t="shared" si="35"/>
        <v>1.0739697471058878</v>
      </c>
      <c r="AF57" s="176">
        <f t="shared" si="35"/>
        <v>1.068797730901631</v>
      </c>
      <c r="AG57" s="176">
        <f t="shared" si="35"/>
        <v>1.0620059959911814</v>
      </c>
      <c r="AH57" s="176">
        <f t="shared" si="35"/>
        <v>1.0337137096642339</v>
      </c>
      <c r="AI57" s="176">
        <f t="shared" si="35"/>
        <v>1.0546887790278732</v>
      </c>
      <c r="AJ57" s="176">
        <f t="shared" si="35"/>
        <v>1.0755913934400192</v>
      </c>
      <c r="AK57" s="176">
        <f t="shared" si="35"/>
        <v>1.060414592940752</v>
      </c>
      <c r="AL57" s="176">
        <f t="shared" si="35"/>
        <v>1.064231720493451</v>
      </c>
      <c r="AM57" s="176">
        <f t="shared" si="35"/>
        <v>1.0510090471662874</v>
      </c>
      <c r="AN57" s="176">
        <f t="shared" si="35"/>
        <v>1.0646323146594356</v>
      </c>
      <c r="AO57" s="176">
        <f t="shared" si="35"/>
        <v>1.0714393003268174</v>
      </c>
      <c r="AP57" s="176">
        <f t="shared" si="35"/>
        <v>1.0759631808801211</v>
      </c>
      <c r="AQ57" s="176">
        <f t="shared" si="35"/>
        <v>1.0469164519589431</v>
      </c>
      <c r="AR57" s="176">
        <f t="shared" si="35"/>
        <v>1.0179161620134747</v>
      </c>
      <c r="AS57" s="176">
        <f t="shared" si="35"/>
        <v>1.0586827667986913</v>
      </c>
      <c r="AT57" s="176">
        <f t="shared" si="35"/>
        <v>1.0523610309294655</v>
      </c>
      <c r="AU57" s="176">
        <f t="shared" si="35"/>
        <v>1.0287690709698514</v>
      </c>
      <c r="AV57" s="176">
        <f t="shared" si="35"/>
        <v>1.0100656505433039</v>
      </c>
      <c r="AW57" s="176">
        <f t="shared" si="35"/>
        <v>1.0240559917321834</v>
      </c>
      <c r="AX57" s="176">
        <f t="shared" si="35"/>
        <v>1.0192908536062726</v>
      </c>
      <c r="AY57" s="176">
        <f t="shared" si="35"/>
        <v>1.0203855960854025</v>
      </c>
      <c r="AZ57" s="176">
        <f t="shared" si="35"/>
        <v>1.0036314466438483</v>
      </c>
      <c r="BA57" s="176">
        <f t="shared" si="35"/>
        <v>1.0071899481022386</v>
      </c>
      <c r="BB57" s="176">
        <f t="shared" si="35"/>
        <v>1.01421349368195</v>
      </c>
      <c r="BC57" s="176">
        <f t="shared" si="35"/>
        <v>1.008277643052403</v>
      </c>
      <c r="BD57" s="176">
        <f t="shared" si="35"/>
        <v>1.0271999035176527</v>
      </c>
      <c r="BE57" s="176">
        <f t="shared" si="35"/>
        <v>0.98653130913054343</v>
      </c>
      <c r="BF57" s="176">
        <f t="shared" si="35"/>
        <v>1.0143247914631397</v>
      </c>
      <c r="BG57" s="176">
        <f t="shared" si="35"/>
        <v>1.0188156465998468</v>
      </c>
      <c r="BH57" s="176">
        <f t="shared" si="35"/>
        <v>1.072191638592046</v>
      </c>
      <c r="BI57" s="176">
        <f t="shared" si="35"/>
        <v>1.0767938684614289</v>
      </c>
      <c r="BJ57" s="176">
        <f t="shared" si="35"/>
        <v>1.0755976881075324</v>
      </c>
      <c r="BK57" s="176">
        <f t="shared" si="35"/>
        <v>1.0777585199442632</v>
      </c>
      <c r="BL57" s="176">
        <f t="shared" si="35"/>
        <v>1.0817440005879351</v>
      </c>
      <c r="BM57" s="176">
        <f t="shared" si="35"/>
        <v>1.0663762661930942</v>
      </c>
      <c r="BN57" s="176">
        <f t="shared" si="35"/>
        <v>1.0674148515601913</v>
      </c>
      <c r="BO57" s="176">
        <f t="shared" si="35"/>
        <v>1.079546056112257</v>
      </c>
      <c r="BP57" s="176">
        <f t="shared" si="35"/>
        <v>1.0915175100079284</v>
      </c>
      <c r="BQ57" s="176">
        <f t="shared" si="35"/>
        <v>1.0981490240924254</v>
      </c>
      <c r="BR57" s="176">
        <f t="shared" si="35"/>
        <v>1.0978609562278387</v>
      </c>
      <c r="BS57" s="176">
        <f t="shared" si="35"/>
        <v>1.0895763717171649</v>
      </c>
      <c r="BT57" s="176">
        <f t="shared" si="35"/>
        <v>1.0468809020109864</v>
      </c>
      <c r="BU57" s="176">
        <f t="shared" si="35"/>
        <v>1.0467367882218399</v>
      </c>
      <c r="BV57" s="176">
        <f t="shared" si="35"/>
        <v>1.0486583308186455</v>
      </c>
      <c r="BW57" s="176">
        <f t="shared" si="35"/>
        <v>1.0538177587132247</v>
      </c>
      <c r="BX57" s="176">
        <f t="shared" si="35"/>
        <v>1.0591560252856258</v>
      </c>
      <c r="BY57" s="176">
        <f t="shared" si="35"/>
        <v>1.0707385192170122</v>
      </c>
      <c r="BZ57" s="176">
        <f t="shared" si="35"/>
        <v>1.0680854232057506</v>
      </c>
      <c r="CA57" s="176">
        <f t="shared" si="35"/>
        <v>1.0707542929942366</v>
      </c>
      <c r="CB57" s="176">
        <f t="shared" si="36"/>
        <v>1.0703629104071211</v>
      </c>
      <c r="CC57" s="176">
        <f t="shared" si="36"/>
        <v>1.0773770055800576</v>
      </c>
      <c r="CD57" s="176">
        <f t="shared" si="36"/>
        <v>1.0794365579651011</v>
      </c>
      <c r="CE57" s="176">
        <f t="shared" si="36"/>
        <v>1.0980969363812583</v>
      </c>
      <c r="CF57" s="176">
        <f t="shared" si="36"/>
        <v>1.0784386070573935</v>
      </c>
      <c r="CG57" s="176">
        <f t="shared" si="36"/>
        <v>1.0772634581145279</v>
      </c>
      <c r="CH57" s="176">
        <f t="shared" si="36"/>
        <v>1.0778726467126525</v>
      </c>
      <c r="CI57" s="176">
        <f t="shared" si="36"/>
        <v>1.0784007661435067</v>
      </c>
      <c r="CJ57" s="176">
        <f t="shared" si="36"/>
        <v>1.0422729201592769</v>
      </c>
      <c r="CK57" s="176">
        <f t="shared" si="36"/>
        <v>1.0253755482810822</v>
      </c>
      <c r="CL57" s="176">
        <f t="shared" si="36"/>
        <v>1.0147044599486841</v>
      </c>
      <c r="CM57" s="176">
        <f t="shared" si="36"/>
        <v>1.003698618537797</v>
      </c>
      <c r="CN57" s="176">
        <f t="shared" si="36"/>
        <v>1.0050859718758178</v>
      </c>
      <c r="CO57" s="176">
        <f t="shared" si="36"/>
        <v>1.0004268776566836</v>
      </c>
      <c r="CP57" s="176">
        <f t="shared" si="36"/>
        <v>1.0019305258959383</v>
      </c>
      <c r="CQ57" s="176">
        <f t="shared" si="36"/>
        <v>0.99153241774646517</v>
      </c>
      <c r="CR57" s="176">
        <f t="shared" si="36"/>
        <v>0.9996062278020037</v>
      </c>
      <c r="CS57" s="176">
        <f t="shared" si="36"/>
        <v>1.0021843433288493</v>
      </c>
      <c r="CT57" s="176">
        <f t="shared" si="36"/>
        <v>1.0012156523879956</v>
      </c>
      <c r="CU57" s="176">
        <f t="shared" si="36"/>
        <v>1.0056584548028755</v>
      </c>
      <c r="CV57" s="176">
        <f t="shared" si="36"/>
        <v>1.0431486872687996</v>
      </c>
      <c r="CW57" s="176">
        <f t="shared" si="36"/>
        <v>1.0565031310310067</v>
      </c>
      <c r="CX57" s="176">
        <f t="shared" si="36"/>
        <v>1.0710539305308291</v>
      </c>
      <c r="CY57" s="176">
        <f t="shared" si="36"/>
        <v>1.0788719940006783</v>
      </c>
      <c r="CZ57" s="176">
        <f t="shared" si="36"/>
        <v>1.0831263469302621</v>
      </c>
      <c r="DA57" s="176">
        <f t="shared" si="36"/>
        <v>1.0896465234612389</v>
      </c>
      <c r="DB57" s="176">
        <f t="shared" si="36"/>
        <v>1.0914521598796281</v>
      </c>
      <c r="DC57" s="176">
        <f t="shared" si="36"/>
        <v>1.0949586157535312</v>
      </c>
      <c r="DD57" s="176">
        <f t="shared" si="36"/>
        <v>1.0894794078735552</v>
      </c>
      <c r="DE57" s="176">
        <f t="shared" si="36"/>
        <v>1.0879022670331435</v>
      </c>
      <c r="DF57" s="176">
        <f t="shared" si="36"/>
        <v>1.0874891761230137</v>
      </c>
      <c r="DG57" s="176">
        <f t="shared" si="36"/>
        <v>1.0882972224799399</v>
      </c>
      <c r="DH57" s="176">
        <f t="shared" si="36"/>
        <v>1.0780297885277457</v>
      </c>
      <c r="DI57" s="176">
        <f t="shared" si="36"/>
        <v>1.0794155355105721</v>
      </c>
      <c r="DJ57" s="176">
        <f t="shared" si="36"/>
        <v>1.079744136641452</v>
      </c>
      <c r="DK57" s="176">
        <f t="shared" si="36"/>
        <v>1.0801918477245052</v>
      </c>
      <c r="DL57" s="176">
        <f t="shared" si="36"/>
        <v>1.0778469707539018</v>
      </c>
      <c r="DM57" s="176">
        <f t="shared" si="36"/>
        <v>1.0711358244722686</v>
      </c>
      <c r="DN57" s="176">
        <f t="shared" si="36"/>
        <v>1.0712716791755206</v>
      </c>
      <c r="DO57" s="176">
        <f t="shared" si="36"/>
        <v>1.0703974938787477</v>
      </c>
      <c r="DP57" s="167">
        <f t="shared" si="19"/>
        <v>8.1216877169028479E-2</v>
      </c>
    </row>
    <row r="58" spans="3:121" s="170" customFormat="1" x14ac:dyDescent="0.3">
      <c r="C58" s="170" t="s">
        <v>3</v>
      </c>
      <c r="P58" s="176">
        <f t="shared" si="35"/>
        <v>1.1047104281106548</v>
      </c>
      <c r="Q58" s="176">
        <f t="shared" si="35"/>
        <v>1.0972941537921348</v>
      </c>
      <c r="R58" s="176">
        <f t="shared" si="35"/>
        <v>1.116727646545149</v>
      </c>
      <c r="S58" s="176">
        <f t="shared" si="35"/>
        <v>1.1369696299164684</v>
      </c>
      <c r="T58" s="176">
        <f t="shared" si="35"/>
        <v>1.1106324296587702</v>
      </c>
      <c r="U58" s="176">
        <f t="shared" si="35"/>
        <v>1.1094717052871719</v>
      </c>
      <c r="V58" s="176">
        <f t="shared" si="35"/>
        <v>1.1079490004722179</v>
      </c>
      <c r="W58" s="176">
        <f t="shared" si="35"/>
        <v>1.0999319489410844</v>
      </c>
      <c r="X58" s="176">
        <f t="shared" si="35"/>
        <v>1.095645380155434</v>
      </c>
      <c r="Y58" s="176">
        <f t="shared" si="35"/>
        <v>1.0910020553423714</v>
      </c>
      <c r="Z58" s="176">
        <f t="shared" si="35"/>
        <v>1.0868426033852376</v>
      </c>
      <c r="AA58" s="176">
        <f t="shared" si="35"/>
        <v>1.0668815776998199</v>
      </c>
      <c r="AB58" s="176">
        <f t="shared" si="35"/>
        <v>1.1014319452333263</v>
      </c>
      <c r="AC58" s="176">
        <f t="shared" si="35"/>
        <v>1.1027669169924903</v>
      </c>
      <c r="AD58" s="176">
        <f t="shared" si="35"/>
        <v>1.0861254912053213</v>
      </c>
      <c r="AE58" s="176">
        <f t="shared" si="35"/>
        <v>1.0517588673186395</v>
      </c>
      <c r="AF58" s="176">
        <f t="shared" si="35"/>
        <v>1.047577796386667</v>
      </c>
      <c r="AG58" s="176">
        <f t="shared" si="35"/>
        <v>1.0218092853675023</v>
      </c>
      <c r="AH58" s="176">
        <f t="shared" si="35"/>
        <v>0.96841317648841663</v>
      </c>
      <c r="AI58" s="176">
        <f t="shared" si="35"/>
        <v>0.9795646712536793</v>
      </c>
      <c r="AJ58" s="176">
        <f t="shared" si="35"/>
        <v>0.96750797522987431</v>
      </c>
      <c r="AK58" s="176">
        <f t="shared" si="35"/>
        <v>0.93863857825622943</v>
      </c>
      <c r="AL58" s="176">
        <f t="shared" si="35"/>
        <v>0.92690707096632263</v>
      </c>
      <c r="AM58" s="176">
        <f t="shared" si="35"/>
        <v>0.89865273186164729</v>
      </c>
      <c r="AN58" s="176">
        <f t="shared" si="35"/>
        <v>0.91843086165092458</v>
      </c>
      <c r="AO58" s="176">
        <f t="shared" si="35"/>
        <v>0.9161044613710555</v>
      </c>
      <c r="AP58" s="176">
        <f t="shared" si="35"/>
        <v>0.9154636920384952</v>
      </c>
      <c r="AQ58" s="176">
        <f t="shared" si="35"/>
        <v>0.93124791828577769</v>
      </c>
      <c r="AR58" s="176">
        <f t="shared" si="35"/>
        <v>0.88259608034106318</v>
      </c>
      <c r="AS58" s="176">
        <f t="shared" si="35"/>
        <v>0.94644953325010717</v>
      </c>
      <c r="AT58" s="176">
        <f t="shared" si="35"/>
        <v>0.95975432042015907</v>
      </c>
      <c r="AU58" s="176">
        <f t="shared" si="35"/>
        <v>0.94626691419931486</v>
      </c>
      <c r="AV58" s="176">
        <f t="shared" si="35"/>
        <v>0.97200267657127337</v>
      </c>
      <c r="AW58" s="176">
        <f t="shared" si="35"/>
        <v>1.001700562569827</v>
      </c>
      <c r="AX58" s="176">
        <f t="shared" si="35"/>
        <v>1.0105715981012657</v>
      </c>
      <c r="AY58" s="176">
        <f t="shared" si="35"/>
        <v>1.0467761075949367</v>
      </c>
      <c r="AZ58" s="176">
        <f t="shared" si="35"/>
        <v>0.98862248315536472</v>
      </c>
      <c r="BA58" s="176">
        <f t="shared" si="35"/>
        <v>1.0399295244882607</v>
      </c>
      <c r="BB58" s="176">
        <f t="shared" si="35"/>
        <v>1.0544040934973917</v>
      </c>
      <c r="BC58" s="176">
        <f t="shared" si="35"/>
        <v>1.0534211598263341</v>
      </c>
      <c r="BD58" s="176">
        <f t="shared" si="35"/>
        <v>1.10095723503204</v>
      </c>
      <c r="BE58" s="176">
        <f t="shared" si="35"/>
        <v>1.0419037306821537</v>
      </c>
      <c r="BF58" s="176">
        <f t="shared" si="35"/>
        <v>1.0733399910324868</v>
      </c>
      <c r="BG58" s="176">
        <f t="shared" si="35"/>
        <v>1.0704873436283284</v>
      </c>
      <c r="BH58" s="176">
        <f t="shared" si="35"/>
        <v>1.0528684026738502</v>
      </c>
      <c r="BI58" s="176">
        <f t="shared" si="35"/>
        <v>1.0406849923505896</v>
      </c>
      <c r="BJ58" s="176">
        <f t="shared" si="35"/>
        <v>1.0488800164401257</v>
      </c>
      <c r="BK58" s="176">
        <f t="shared" si="35"/>
        <v>1.039149740198394</v>
      </c>
      <c r="BL58" s="176">
        <f t="shared" si="35"/>
        <v>1.0912705134464582</v>
      </c>
      <c r="BM58" s="176">
        <f t="shared" si="35"/>
        <v>1.0405284498676972</v>
      </c>
      <c r="BN58" s="176">
        <f t="shared" si="35"/>
        <v>1.0346969797105281</v>
      </c>
      <c r="BO58" s="176">
        <f t="shared" si="35"/>
        <v>1.0553145336225596</v>
      </c>
      <c r="BP58" s="176">
        <f t="shared" si="35"/>
        <v>1.0634857596732101</v>
      </c>
      <c r="BQ58" s="176">
        <f t="shared" si="35"/>
        <v>1.0603134713312612</v>
      </c>
      <c r="BR58" s="176">
        <f t="shared" si="35"/>
        <v>1.0619107748103562</v>
      </c>
      <c r="BS58" s="176">
        <f t="shared" si="35"/>
        <v>1.0547268381623571</v>
      </c>
      <c r="BT58" s="176">
        <f t="shared" si="35"/>
        <v>1.0563920817974206</v>
      </c>
      <c r="BU58" s="176">
        <f t="shared" si="35"/>
        <v>1.051044699678481</v>
      </c>
      <c r="BV58" s="176">
        <f t="shared" si="35"/>
        <v>1.0434299895506791</v>
      </c>
      <c r="BW58" s="176">
        <f t="shared" si="35"/>
        <v>1.0382111751550085</v>
      </c>
      <c r="BX58" s="176">
        <f t="shared" si="35"/>
        <v>1.0394627514357977</v>
      </c>
      <c r="BY58" s="176">
        <f t="shared" si="35"/>
        <v>1.0420600073179656</v>
      </c>
      <c r="BZ58" s="176">
        <f t="shared" si="35"/>
        <v>1.0351485509891234</v>
      </c>
      <c r="CA58" s="176">
        <f t="shared" si="35"/>
        <v>1.0273202555967649</v>
      </c>
      <c r="CB58" s="176">
        <f t="shared" si="36"/>
        <v>1.0278918822797189</v>
      </c>
      <c r="CC58" s="176">
        <f t="shared" si="36"/>
        <v>1.0316579198260729</v>
      </c>
      <c r="CD58" s="176">
        <f t="shared" si="36"/>
        <v>1.0370675011175681</v>
      </c>
      <c r="CE58" s="176">
        <f t="shared" si="36"/>
        <v>1.0335435214875588</v>
      </c>
      <c r="CF58" s="176">
        <f t="shared" si="36"/>
        <v>1.0341137423753139</v>
      </c>
      <c r="CG58" s="176">
        <f t="shared" si="36"/>
        <v>1.0351022839043846</v>
      </c>
      <c r="CH58" s="176">
        <f t="shared" si="36"/>
        <v>1.0338254097407882</v>
      </c>
      <c r="CI58" s="176">
        <f t="shared" si="36"/>
        <v>1.0394406157779976</v>
      </c>
      <c r="CJ58" s="176">
        <f t="shared" si="36"/>
        <v>1.0391328408422125</v>
      </c>
      <c r="CK58" s="176">
        <f t="shared" si="36"/>
        <v>1.0409153952843273</v>
      </c>
      <c r="CL58" s="176">
        <f t="shared" si="36"/>
        <v>1.034281231268291</v>
      </c>
      <c r="CM58" s="176">
        <f t="shared" si="36"/>
        <v>1.0207564896652517</v>
      </c>
      <c r="CN58" s="176">
        <f t="shared" si="36"/>
        <v>1.0233290371690296</v>
      </c>
      <c r="CO58" s="176">
        <f t="shared" si="36"/>
        <v>1.0328370068403234</v>
      </c>
      <c r="CP58" s="176">
        <f t="shared" si="36"/>
        <v>1.0377771647298182</v>
      </c>
      <c r="CQ58" s="176">
        <f t="shared" si="36"/>
        <v>1.0484959832222618</v>
      </c>
      <c r="CR58" s="176">
        <f t="shared" si="36"/>
        <v>1.0650746424017419</v>
      </c>
      <c r="CS58" s="176">
        <f t="shared" si="36"/>
        <v>1.0918933998204152</v>
      </c>
      <c r="CT58" s="176">
        <f t="shared" si="36"/>
        <v>1.0898271955164243</v>
      </c>
      <c r="CU58" s="176">
        <f t="shared" si="36"/>
        <v>1.1023243275119838</v>
      </c>
      <c r="CV58" s="176">
        <f t="shared" si="36"/>
        <v>1.0903565571691829</v>
      </c>
      <c r="CW58" s="176">
        <f t="shared" si="36"/>
        <v>1.085462012666661</v>
      </c>
      <c r="CX58" s="176">
        <f t="shared" si="36"/>
        <v>1.0966309563379442</v>
      </c>
      <c r="CY58" s="176">
        <f t="shared" si="36"/>
        <v>1.1043736896827967</v>
      </c>
      <c r="CZ58" s="176">
        <f t="shared" si="36"/>
        <v>1.1100300919664592</v>
      </c>
      <c r="DA58" s="176">
        <f t="shared" si="36"/>
        <v>1.103440202030338</v>
      </c>
      <c r="DB58" s="176">
        <f t="shared" si="36"/>
        <v>1.1035488212131785</v>
      </c>
      <c r="DC58" s="176">
        <f t="shared" si="36"/>
        <v>1.0977460388306182</v>
      </c>
      <c r="DD58" s="176">
        <f t="shared" si="36"/>
        <v>1.0843181170338396</v>
      </c>
      <c r="DE58" s="176">
        <f t="shared" si="36"/>
        <v>1.0594650698602794</v>
      </c>
      <c r="DF58" s="176">
        <f t="shared" si="36"/>
        <v>1.053702939495905</v>
      </c>
      <c r="DG58" s="176">
        <f t="shared" si="36"/>
        <v>1.0445940678808074</v>
      </c>
      <c r="DH58" s="176">
        <f t="shared" si="36"/>
        <v>1.057075519238373</v>
      </c>
      <c r="DI58" s="176">
        <f t="shared" si="36"/>
        <v>1.0546409453590546</v>
      </c>
      <c r="DJ58" s="176">
        <f t="shared" si="36"/>
        <v>1.0590653682647995</v>
      </c>
      <c r="DK58" s="176">
        <f t="shared" si="36"/>
        <v>1.0644364702704789</v>
      </c>
      <c r="DL58" s="176">
        <f t="shared" si="36"/>
        <v>1.0535101012023971</v>
      </c>
      <c r="DM58" s="176">
        <f t="shared" si="36"/>
        <v>1.0482281972778804</v>
      </c>
      <c r="DN58" s="176">
        <f t="shared" si="36"/>
        <v>1.0414624782638151</v>
      </c>
      <c r="DO58" s="176">
        <f t="shared" si="36"/>
        <v>1.0459292388546302</v>
      </c>
      <c r="DP58" s="167">
        <f t="shared" si="19"/>
        <v>5.8673136821206784E-2</v>
      </c>
    </row>
    <row r="59" spans="3:121" s="170" customFormat="1" x14ac:dyDescent="0.3">
      <c r="DP59" s="167"/>
    </row>
    <row r="60" spans="3:121" s="170" customFormat="1" x14ac:dyDescent="0.3"/>
    <row r="61" spans="3:121" s="170" customFormat="1" x14ac:dyDescent="0.3"/>
    <row r="62" spans="3:121" s="170" customFormat="1" x14ac:dyDescent="0.3"/>
    <row r="63" spans="3:121" s="170" customFormat="1" x14ac:dyDescent="0.3"/>
    <row r="64" spans="3:121" s="170" customFormat="1" x14ac:dyDescent="0.3"/>
    <row r="65" spans="4:123" s="170" customFormat="1" x14ac:dyDescent="0.3"/>
    <row r="66" spans="4:123" s="170" customFormat="1" x14ac:dyDescent="0.3"/>
    <row r="67" spans="4:123" s="170" customFormat="1" x14ac:dyDescent="0.3"/>
    <row r="68" spans="4:123" s="170" customFormat="1" x14ac:dyDescent="0.3"/>
    <row r="69" spans="4:123" s="170" customFormat="1" x14ac:dyDescent="0.3"/>
    <row r="70" spans="4:123" s="170" customFormat="1" x14ac:dyDescent="0.3"/>
    <row r="71" spans="4:123" s="170" customFormat="1" x14ac:dyDescent="0.3"/>
    <row r="72" spans="4:123" s="170" customFormat="1" x14ac:dyDescent="0.3"/>
    <row r="73" spans="4:123" s="170" customFormat="1" x14ac:dyDescent="0.3"/>
    <row r="74" spans="4:123" s="170" customFormat="1" x14ac:dyDescent="0.3">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c r="BR74" s="177"/>
      <c r="BS74" s="177"/>
      <c r="BT74" s="177"/>
      <c r="BU74" s="177"/>
      <c r="BV74" s="177"/>
      <c r="BW74" s="177"/>
      <c r="BX74" s="177"/>
      <c r="BY74" s="177"/>
      <c r="BZ74" s="177"/>
      <c r="CA74" s="177"/>
      <c r="CB74" s="177"/>
      <c r="CC74" s="177"/>
      <c r="CD74" s="177"/>
      <c r="CE74" s="177"/>
      <c r="CF74" s="177"/>
      <c r="CG74" s="177"/>
      <c r="CH74" s="177"/>
      <c r="CI74" s="177"/>
      <c r="CJ74" s="177"/>
      <c r="CK74" s="177"/>
      <c r="CL74" s="177"/>
      <c r="CM74" s="177"/>
      <c r="CN74" s="177"/>
      <c r="CO74" s="177"/>
      <c r="CP74" s="177"/>
      <c r="CQ74" s="177"/>
      <c r="CR74" s="177"/>
      <c r="CS74" s="177"/>
      <c r="CT74" s="177"/>
      <c r="CU74" s="177"/>
      <c r="CV74" s="177"/>
      <c r="CW74" s="177"/>
      <c r="CX74" s="177"/>
      <c r="CY74" s="177"/>
      <c r="CZ74" s="177"/>
      <c r="DA74" s="177"/>
      <c r="DB74" s="177"/>
      <c r="DC74" s="177"/>
      <c r="DD74" s="177"/>
      <c r="DE74" s="177"/>
      <c r="DF74" s="177"/>
      <c r="DG74" s="177"/>
      <c r="DH74" s="177"/>
      <c r="DI74" s="177"/>
      <c r="DJ74" s="177"/>
      <c r="DK74" s="177"/>
      <c r="DL74" s="177"/>
      <c r="DM74" s="177"/>
      <c r="DN74" s="177"/>
      <c r="DO74" s="177"/>
      <c r="DP74" s="177"/>
      <c r="DQ74" s="177"/>
      <c r="DR74" s="177"/>
      <c r="DS74" s="177"/>
    </row>
    <row r="75" spans="4:123" s="170" customFormat="1" x14ac:dyDescent="0.3">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7"/>
      <c r="BR75" s="177"/>
      <c r="BS75" s="177"/>
      <c r="BT75" s="177"/>
      <c r="BU75" s="177"/>
      <c r="BV75" s="177"/>
      <c r="BW75" s="177"/>
      <c r="BX75" s="177"/>
      <c r="BY75" s="177"/>
      <c r="BZ75" s="177"/>
      <c r="CA75" s="177"/>
      <c r="CB75" s="177"/>
      <c r="CC75" s="177"/>
      <c r="CD75" s="177"/>
      <c r="CE75" s="177"/>
      <c r="CF75" s="177"/>
      <c r="CG75" s="177"/>
      <c r="CH75" s="177"/>
      <c r="CI75" s="177"/>
      <c r="CJ75" s="177"/>
      <c r="CK75" s="177"/>
      <c r="CL75" s="177"/>
      <c r="CM75" s="177"/>
      <c r="CN75" s="177"/>
      <c r="CO75" s="177"/>
      <c r="CP75" s="177"/>
      <c r="CQ75" s="177"/>
      <c r="CR75" s="177"/>
      <c r="CS75" s="177"/>
      <c r="CT75" s="177"/>
      <c r="CU75" s="177"/>
      <c r="CV75" s="177"/>
      <c r="CW75" s="177"/>
      <c r="CX75" s="177"/>
      <c r="CY75" s="177"/>
      <c r="CZ75" s="177"/>
      <c r="DA75" s="177"/>
      <c r="DB75" s="177"/>
      <c r="DC75" s="177"/>
      <c r="DD75" s="177"/>
      <c r="DE75" s="177"/>
      <c r="DF75" s="177"/>
      <c r="DG75" s="177"/>
      <c r="DH75" s="177"/>
      <c r="DI75" s="177"/>
      <c r="DJ75" s="177"/>
      <c r="DK75" s="177"/>
      <c r="DL75" s="177"/>
      <c r="DM75" s="177"/>
      <c r="DN75" s="177"/>
      <c r="DO75" s="177"/>
      <c r="DP75" s="177"/>
      <c r="DQ75" s="177"/>
      <c r="DR75" s="177"/>
      <c r="DS75" s="177"/>
    </row>
    <row r="76" spans="4:123" s="170" customFormat="1" x14ac:dyDescent="0.3">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7"/>
      <c r="BM76" s="177"/>
      <c r="BN76" s="177"/>
      <c r="BO76" s="177"/>
      <c r="BP76" s="177"/>
      <c r="BQ76" s="177"/>
      <c r="BR76" s="177"/>
      <c r="BS76" s="177"/>
      <c r="BT76" s="177"/>
      <c r="BU76" s="177"/>
      <c r="BV76" s="177"/>
      <c r="BW76" s="177"/>
      <c r="BX76" s="177"/>
      <c r="BY76" s="177"/>
      <c r="BZ76" s="177"/>
      <c r="CA76" s="177"/>
      <c r="CB76" s="177"/>
      <c r="CC76" s="177"/>
      <c r="CD76" s="177"/>
      <c r="CE76" s="177"/>
      <c r="CF76" s="177"/>
      <c r="CG76" s="177"/>
      <c r="CH76" s="177"/>
      <c r="CI76" s="177"/>
      <c r="CJ76" s="177"/>
      <c r="CK76" s="177"/>
      <c r="CL76" s="177"/>
      <c r="CM76" s="177"/>
      <c r="CN76" s="177"/>
      <c r="CO76" s="177"/>
      <c r="CP76" s="177"/>
      <c r="CQ76" s="177"/>
      <c r="CR76" s="177"/>
      <c r="CS76" s="177"/>
      <c r="CT76" s="177"/>
      <c r="CU76" s="177"/>
      <c r="CV76" s="177"/>
      <c r="CW76" s="177"/>
      <c r="CX76" s="177"/>
      <c r="CY76" s="177"/>
      <c r="CZ76" s="177"/>
      <c r="DA76" s="177"/>
      <c r="DB76" s="177"/>
      <c r="DC76" s="177"/>
      <c r="DD76" s="177"/>
      <c r="DE76" s="177"/>
      <c r="DF76" s="177"/>
      <c r="DG76" s="177"/>
      <c r="DH76" s="177"/>
      <c r="DI76" s="177"/>
      <c r="DJ76" s="177"/>
      <c r="DK76" s="177"/>
      <c r="DL76" s="177"/>
      <c r="DM76" s="177"/>
      <c r="DN76" s="177"/>
      <c r="DO76" s="177"/>
      <c r="DP76" s="177"/>
      <c r="DQ76" s="177"/>
      <c r="DR76" s="177"/>
      <c r="DS76" s="177"/>
    </row>
    <row r="77" spans="4:123" s="179" customFormat="1" x14ac:dyDescent="0.3">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178"/>
      <c r="CA77" s="178"/>
      <c r="CB77" s="178"/>
      <c r="CC77" s="178"/>
      <c r="CD77" s="178"/>
      <c r="CE77" s="178"/>
      <c r="CF77" s="178"/>
      <c r="CG77" s="178"/>
      <c r="CH77" s="178"/>
      <c r="CI77" s="178"/>
      <c r="CJ77" s="178"/>
      <c r="CK77" s="178"/>
      <c r="CL77" s="178"/>
      <c r="CM77" s="178"/>
      <c r="CN77" s="178"/>
      <c r="CO77" s="178"/>
      <c r="CP77" s="178"/>
      <c r="CQ77" s="178"/>
      <c r="CR77" s="178"/>
      <c r="CS77" s="178"/>
      <c r="CT77" s="178"/>
      <c r="CU77" s="178"/>
      <c r="CV77" s="178"/>
      <c r="CW77" s="178"/>
      <c r="CX77" s="178"/>
      <c r="CY77" s="178"/>
      <c r="CZ77" s="178"/>
      <c r="DA77" s="178"/>
      <c r="DB77" s="178"/>
      <c r="DC77" s="178"/>
      <c r="DD77" s="178"/>
      <c r="DE77" s="178"/>
      <c r="DF77" s="178"/>
      <c r="DG77" s="178"/>
      <c r="DH77" s="178"/>
      <c r="DI77" s="178"/>
      <c r="DJ77" s="178"/>
      <c r="DK77" s="178"/>
      <c r="DL77" s="178"/>
      <c r="DM77" s="178"/>
      <c r="DN77" s="178"/>
      <c r="DO77" s="178"/>
      <c r="DP77" s="178"/>
      <c r="DQ77" s="178"/>
      <c r="DR77" s="178"/>
      <c r="DS77" s="178"/>
    </row>
    <row r="78" spans="4:123" s="179" customFormat="1" x14ac:dyDescent="0.3">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178"/>
      <c r="CA78" s="178"/>
      <c r="CB78" s="178"/>
      <c r="CC78" s="178"/>
      <c r="CD78" s="178"/>
      <c r="CE78" s="178"/>
      <c r="CF78" s="178"/>
      <c r="CG78" s="178"/>
      <c r="CH78" s="178"/>
      <c r="CI78" s="178"/>
      <c r="CJ78" s="178"/>
      <c r="CK78" s="178"/>
      <c r="CL78" s="178"/>
      <c r="CM78" s="178"/>
      <c r="CN78" s="178"/>
      <c r="CO78" s="178"/>
      <c r="CP78" s="178"/>
      <c r="CQ78" s="178"/>
      <c r="CR78" s="178"/>
      <c r="CS78" s="178"/>
      <c r="CT78" s="178"/>
      <c r="CU78" s="178"/>
      <c r="CV78" s="178"/>
      <c r="CW78" s="178"/>
      <c r="CX78" s="178"/>
      <c r="CY78" s="178"/>
      <c r="CZ78" s="178"/>
      <c r="DA78" s="178"/>
      <c r="DB78" s="178"/>
      <c r="DC78" s="178"/>
      <c r="DD78" s="178"/>
      <c r="DE78" s="178"/>
      <c r="DF78" s="178"/>
      <c r="DG78" s="178"/>
      <c r="DH78" s="178"/>
      <c r="DI78" s="178"/>
      <c r="DJ78" s="178"/>
      <c r="DK78" s="178"/>
      <c r="DL78" s="178"/>
      <c r="DM78" s="178"/>
      <c r="DN78" s="178"/>
      <c r="DO78" s="178"/>
      <c r="DP78" s="178"/>
      <c r="DQ78" s="178"/>
      <c r="DR78" s="178"/>
      <c r="DS78" s="178"/>
    </row>
    <row r="79" spans="4:123" s="179" customFormat="1" x14ac:dyDescent="0.3">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8"/>
      <c r="BQ79" s="178"/>
      <c r="BR79" s="178"/>
      <c r="BS79" s="178"/>
      <c r="BT79" s="178"/>
      <c r="BU79" s="178"/>
      <c r="BV79" s="178"/>
      <c r="BW79" s="178"/>
      <c r="BX79" s="178"/>
      <c r="BY79" s="178"/>
      <c r="BZ79" s="178"/>
      <c r="CA79" s="178"/>
      <c r="CB79" s="178"/>
      <c r="CC79" s="178"/>
      <c r="CD79" s="178"/>
      <c r="CE79" s="178"/>
      <c r="CF79" s="178"/>
      <c r="CG79" s="178"/>
      <c r="CH79" s="178"/>
      <c r="CI79" s="178"/>
      <c r="CJ79" s="178"/>
      <c r="CK79" s="178"/>
      <c r="CL79" s="178"/>
      <c r="CM79" s="178"/>
      <c r="CN79" s="178"/>
      <c r="CO79" s="178"/>
      <c r="CP79" s="178"/>
      <c r="CQ79" s="178"/>
      <c r="CR79" s="178"/>
      <c r="CS79" s="178"/>
      <c r="CT79" s="178"/>
      <c r="CU79" s="178"/>
      <c r="CV79" s="178"/>
      <c r="CW79" s="178"/>
      <c r="CX79" s="178"/>
      <c r="CY79" s="178"/>
      <c r="CZ79" s="178"/>
      <c r="DA79" s="178"/>
      <c r="DB79" s="178"/>
      <c r="DC79" s="178"/>
      <c r="DD79" s="178"/>
      <c r="DE79" s="178"/>
      <c r="DF79" s="178"/>
      <c r="DG79" s="178"/>
      <c r="DH79" s="178"/>
      <c r="DI79" s="178"/>
      <c r="DJ79" s="178"/>
      <c r="DK79" s="178"/>
      <c r="DL79" s="178"/>
      <c r="DM79" s="178"/>
      <c r="DN79" s="178"/>
      <c r="DO79" s="178"/>
      <c r="DP79" s="178"/>
      <c r="DQ79" s="178"/>
      <c r="DR79" s="178"/>
      <c r="DS79" s="178"/>
    </row>
    <row r="80" spans="4:123" s="179" customFormat="1" x14ac:dyDescent="0.3">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178"/>
      <c r="BJ80" s="178"/>
      <c r="BK80" s="178"/>
      <c r="BL80" s="178"/>
      <c r="BM80" s="178"/>
      <c r="BN80" s="178"/>
      <c r="BO80" s="178"/>
      <c r="BP80" s="178"/>
      <c r="BQ80" s="178"/>
      <c r="BR80" s="178"/>
      <c r="BS80" s="178"/>
      <c r="BT80" s="178"/>
      <c r="BU80" s="178"/>
      <c r="BV80" s="178"/>
      <c r="BW80" s="178"/>
      <c r="BX80" s="178"/>
      <c r="BY80" s="178"/>
      <c r="BZ80" s="178"/>
      <c r="CA80" s="178"/>
      <c r="CB80" s="178"/>
      <c r="CC80" s="178"/>
      <c r="CD80" s="178"/>
      <c r="CE80" s="178"/>
      <c r="CF80" s="178"/>
      <c r="CG80" s="178"/>
      <c r="CH80" s="178"/>
      <c r="CI80" s="178"/>
      <c r="CJ80" s="178"/>
      <c r="CK80" s="178"/>
      <c r="CL80" s="178"/>
      <c r="CM80" s="178"/>
      <c r="CN80" s="178"/>
      <c r="CO80" s="178"/>
      <c r="CP80" s="178"/>
      <c r="CQ80" s="178"/>
      <c r="CR80" s="178"/>
      <c r="CS80" s="178"/>
      <c r="CT80" s="178"/>
      <c r="CU80" s="178"/>
      <c r="CV80" s="178"/>
      <c r="CW80" s="178"/>
      <c r="CX80" s="178"/>
      <c r="CY80" s="178"/>
      <c r="CZ80" s="178"/>
      <c r="DA80" s="178"/>
      <c r="DB80" s="178"/>
      <c r="DC80" s="178"/>
      <c r="DD80" s="178"/>
      <c r="DE80" s="178"/>
      <c r="DF80" s="178"/>
      <c r="DG80" s="178"/>
      <c r="DH80" s="178"/>
      <c r="DI80" s="178"/>
      <c r="DJ80" s="178"/>
      <c r="DK80" s="178"/>
      <c r="DL80" s="178"/>
      <c r="DM80" s="178"/>
      <c r="DN80" s="178"/>
      <c r="DO80" s="178"/>
      <c r="DP80" s="178"/>
      <c r="DQ80" s="178"/>
      <c r="DR80" s="178"/>
      <c r="DS80" s="178"/>
    </row>
    <row r="81" spans="4:123" s="179" customFormat="1" x14ac:dyDescent="0.3">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c r="BZ81" s="178"/>
      <c r="CA81" s="178"/>
      <c r="CB81" s="178"/>
      <c r="CC81" s="178"/>
      <c r="CD81" s="178"/>
      <c r="CE81" s="178"/>
      <c r="CF81" s="178"/>
      <c r="CG81" s="178"/>
      <c r="CH81" s="178"/>
      <c r="CI81" s="178"/>
      <c r="CJ81" s="178"/>
      <c r="CK81" s="178"/>
      <c r="CL81" s="178"/>
      <c r="CM81" s="178"/>
      <c r="CN81" s="178"/>
      <c r="CO81" s="178"/>
      <c r="CP81" s="178"/>
      <c r="CQ81" s="178"/>
      <c r="CR81" s="178"/>
      <c r="CS81" s="178"/>
      <c r="CT81" s="178"/>
      <c r="CU81" s="178"/>
      <c r="CV81" s="178"/>
      <c r="CW81" s="178"/>
      <c r="CX81" s="178"/>
      <c r="CY81" s="178"/>
      <c r="CZ81" s="178"/>
      <c r="DA81" s="178"/>
      <c r="DB81" s="178"/>
      <c r="DC81" s="178"/>
      <c r="DD81" s="178"/>
      <c r="DE81" s="178"/>
      <c r="DF81" s="178"/>
      <c r="DG81" s="178"/>
      <c r="DH81" s="178"/>
      <c r="DI81" s="178"/>
      <c r="DJ81" s="178"/>
      <c r="DK81" s="178"/>
      <c r="DL81" s="178"/>
      <c r="DM81" s="178"/>
      <c r="DN81" s="178"/>
      <c r="DO81" s="178"/>
      <c r="DP81" s="178"/>
      <c r="DQ81" s="178"/>
      <c r="DR81" s="178"/>
      <c r="DS81" s="178"/>
    </row>
    <row r="82" spans="4:123" s="179" customFormat="1" x14ac:dyDescent="0.3">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178"/>
      <c r="CA82" s="178"/>
      <c r="CB82" s="178"/>
      <c r="CC82" s="178"/>
      <c r="CD82" s="178"/>
      <c r="CE82" s="178"/>
      <c r="CF82" s="178"/>
      <c r="CG82" s="178"/>
      <c r="CH82" s="178"/>
      <c r="CI82" s="178"/>
      <c r="CJ82" s="178"/>
      <c r="CK82" s="178"/>
      <c r="CL82" s="178"/>
      <c r="CM82" s="178"/>
      <c r="CN82" s="178"/>
      <c r="CO82" s="178"/>
      <c r="CP82" s="178"/>
      <c r="CQ82" s="178"/>
      <c r="CR82" s="178"/>
      <c r="CS82" s="178"/>
      <c r="CT82" s="178"/>
      <c r="CU82" s="178"/>
      <c r="CV82" s="178"/>
      <c r="CW82" s="178"/>
      <c r="CX82" s="178"/>
      <c r="CY82" s="178"/>
      <c r="CZ82" s="178"/>
      <c r="DA82" s="178"/>
      <c r="DB82" s="178"/>
      <c r="DC82" s="178"/>
      <c r="DD82" s="178"/>
      <c r="DE82" s="178"/>
      <c r="DF82" s="178"/>
      <c r="DG82" s="178"/>
      <c r="DH82" s="178"/>
      <c r="DI82" s="178"/>
      <c r="DJ82" s="178"/>
      <c r="DK82" s="178"/>
      <c r="DL82" s="178"/>
      <c r="DM82" s="178"/>
      <c r="DN82" s="178"/>
      <c r="DO82" s="178"/>
      <c r="DP82" s="178"/>
      <c r="DQ82" s="178"/>
      <c r="DR82" s="178"/>
      <c r="DS82" s="178"/>
    </row>
    <row r="83" spans="4:123" s="179" customFormat="1" x14ac:dyDescent="0.3">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178"/>
      <c r="BP83" s="178"/>
      <c r="BQ83" s="178"/>
      <c r="BR83" s="178"/>
      <c r="BS83" s="178"/>
      <c r="BT83" s="178"/>
      <c r="BU83" s="178"/>
      <c r="BV83" s="178"/>
      <c r="BW83" s="178"/>
      <c r="BX83" s="178"/>
      <c r="BY83" s="178"/>
      <c r="BZ83" s="178"/>
      <c r="CA83" s="178"/>
      <c r="CB83" s="178"/>
      <c r="CC83" s="178"/>
      <c r="CD83" s="178"/>
      <c r="CE83" s="178"/>
      <c r="CF83" s="178"/>
      <c r="CG83" s="178"/>
      <c r="CH83" s="178"/>
      <c r="CI83" s="178"/>
      <c r="CJ83" s="178"/>
      <c r="CK83" s="178"/>
      <c r="CL83" s="178"/>
      <c r="CM83" s="178"/>
      <c r="CN83" s="178"/>
      <c r="CO83" s="178"/>
      <c r="CP83" s="178"/>
      <c r="CQ83" s="178"/>
      <c r="CR83" s="178"/>
      <c r="CS83" s="178"/>
      <c r="CT83" s="178"/>
      <c r="CU83" s="178"/>
      <c r="CV83" s="178"/>
      <c r="CW83" s="178"/>
      <c r="CX83" s="178"/>
      <c r="CY83" s="178"/>
      <c r="CZ83" s="178"/>
      <c r="DA83" s="178"/>
      <c r="DB83" s="178"/>
      <c r="DC83" s="178"/>
      <c r="DD83" s="178"/>
      <c r="DE83" s="178"/>
      <c r="DF83" s="178"/>
      <c r="DG83" s="178"/>
      <c r="DH83" s="178"/>
      <c r="DI83" s="178"/>
      <c r="DJ83" s="178"/>
      <c r="DK83" s="178"/>
      <c r="DL83" s="178"/>
      <c r="DM83" s="178"/>
      <c r="DN83" s="178"/>
      <c r="DO83" s="178"/>
      <c r="DP83" s="178"/>
      <c r="DQ83" s="178"/>
      <c r="DR83" s="178"/>
      <c r="DS83" s="178"/>
    </row>
    <row r="84" spans="4:123" s="179" customFormat="1" x14ac:dyDescent="0.3">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178"/>
      <c r="BP84" s="178"/>
      <c r="BQ84" s="178"/>
      <c r="BR84" s="178"/>
      <c r="BS84" s="178"/>
      <c r="BT84" s="178"/>
      <c r="BU84" s="178"/>
      <c r="BV84" s="178"/>
      <c r="BW84" s="178"/>
      <c r="BX84" s="178"/>
      <c r="BY84" s="178"/>
      <c r="BZ84" s="178"/>
      <c r="CA84" s="178"/>
      <c r="CB84" s="178"/>
      <c r="CC84" s="178"/>
      <c r="CD84" s="178"/>
      <c r="CE84" s="178"/>
      <c r="CF84" s="178"/>
      <c r="CG84" s="178"/>
      <c r="CH84" s="178"/>
      <c r="CI84" s="178"/>
      <c r="CJ84" s="178"/>
      <c r="CK84" s="178"/>
      <c r="CL84" s="178"/>
      <c r="CM84" s="178"/>
      <c r="CN84" s="178"/>
      <c r="CO84" s="178"/>
      <c r="CP84" s="178"/>
      <c r="CQ84" s="178"/>
      <c r="CR84" s="178"/>
      <c r="CS84" s="178"/>
      <c r="CT84" s="178"/>
      <c r="CU84" s="178"/>
      <c r="CV84" s="178"/>
      <c r="CW84" s="178"/>
      <c r="CX84" s="178"/>
      <c r="CY84" s="178"/>
      <c r="CZ84" s="178"/>
      <c r="DA84" s="178"/>
      <c r="DB84" s="178"/>
      <c r="DC84" s="178"/>
      <c r="DD84" s="178"/>
      <c r="DE84" s="178"/>
      <c r="DF84" s="178"/>
      <c r="DG84" s="178"/>
      <c r="DH84" s="178"/>
      <c r="DI84" s="178"/>
      <c r="DJ84" s="178"/>
      <c r="DK84" s="178"/>
      <c r="DL84" s="178"/>
      <c r="DM84" s="178"/>
      <c r="DN84" s="178"/>
      <c r="DO84" s="178"/>
      <c r="DP84" s="178"/>
      <c r="DQ84" s="178"/>
      <c r="DR84" s="178"/>
      <c r="DS84" s="178"/>
    </row>
    <row r="85" spans="4:123" s="179" customFormat="1" x14ac:dyDescent="0.3">
      <c r="D85" s="178"/>
    </row>
    <row r="86" spans="4:123" s="179" customFormat="1" x14ac:dyDescent="0.3">
      <c r="D86" s="178"/>
    </row>
    <row r="87" spans="4:123" s="179" customFormat="1" x14ac:dyDescent="0.3">
      <c r="D87" s="178"/>
    </row>
    <row r="88" spans="4:123" s="179" customFormat="1" x14ac:dyDescent="0.3">
      <c r="D88" s="178"/>
    </row>
    <row r="89" spans="4:123" s="179" customFormat="1" x14ac:dyDescent="0.3">
      <c r="D89" s="178"/>
    </row>
    <row r="90" spans="4:123" s="181" customFormat="1" x14ac:dyDescent="0.3">
      <c r="D90" s="180"/>
    </row>
    <row r="91" spans="4:123" s="181" customFormat="1" x14ac:dyDescent="0.3"/>
  </sheetData>
  <mergeCells count="21">
    <mergeCell ref="DS9:DS10"/>
    <mergeCell ref="B20:C20"/>
    <mergeCell ref="B21:C21"/>
    <mergeCell ref="CJ9:CU9"/>
    <mergeCell ref="CV9:DG9"/>
    <mergeCell ref="DH9:DO9"/>
    <mergeCell ref="DP9:DP10"/>
    <mergeCell ref="DQ9:DQ10"/>
    <mergeCell ref="DR9:DR10"/>
    <mergeCell ref="P9:AA9"/>
    <mergeCell ref="AB9:AM9"/>
    <mergeCell ref="AN9:AY9"/>
    <mergeCell ref="AZ9:BK9"/>
    <mergeCell ref="BL9:BW9"/>
    <mergeCell ref="BX9:CI9"/>
    <mergeCell ref="D3:K3"/>
    <mergeCell ref="D4:K4"/>
    <mergeCell ref="D5:K5"/>
    <mergeCell ref="D6:K6"/>
    <mergeCell ref="D7:E7"/>
    <mergeCell ref="D9:O9"/>
  </mergeCells>
  <hyperlinks>
    <hyperlink ref="D7:E7" location="ÍNDICE!A1" display="&lt;- Volver a índice"/>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6" id="{0AC6FE82-1412-42CF-A972-840584ACC80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DQ11:DS11 DQ13:DS16 DQ19:DS21</xm:sqref>
        </x14:conditionalFormatting>
        <x14:conditionalFormatting xmlns:xm="http://schemas.microsoft.com/office/excel/2006/main">
          <x14:cfRule type="iconSet" priority="5" id="{2A2C9610-5FDD-40E9-9439-617DDAA72E6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DP11 DP13:DP21</xm:sqref>
        </x14:conditionalFormatting>
        <x14:conditionalFormatting xmlns:xm="http://schemas.microsoft.com/office/excel/2006/main">
          <x14:cfRule type="iconSet" priority="4" id="{B3364062-D7A3-499B-8EF8-44051C0F39E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DP17:DS18</xm:sqref>
        </x14:conditionalFormatting>
        <x14:conditionalFormatting xmlns:xm="http://schemas.microsoft.com/office/excel/2006/main">
          <x14:cfRule type="iconSet" priority="3" id="{974B6B03-2B42-4681-A72E-CF658805959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DP17:DT18</xm:sqref>
        </x14:conditionalFormatting>
        <x14:conditionalFormatting xmlns:xm="http://schemas.microsoft.com/office/excel/2006/main">
          <x14:cfRule type="iconSet" priority="2" id="{4B0390E5-2AE2-4669-B27D-0050AC7D1CF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DR17:DS18</xm:sqref>
        </x14:conditionalFormatting>
        <x14:conditionalFormatting xmlns:xm="http://schemas.microsoft.com/office/excel/2006/main">
          <x14:cfRule type="iconSet" priority="1" id="{FBD2C40D-1F64-4D4E-AABA-0286675F073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DR17:DS18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97"/>
  <sheetViews>
    <sheetView showGridLines="0" zoomScale="92" zoomScaleNormal="92" workbookViewId="0">
      <pane xSplit="3" ySplit="10" topLeftCell="D11" activePane="bottomRight" state="frozen"/>
      <selection pane="topRight" activeCell="D1" sqref="D1"/>
      <selection pane="bottomLeft" activeCell="A11" sqref="A11"/>
      <selection pane="bottomRight" activeCell="B18" sqref="B1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19" width="15.109375" customWidth="1"/>
    <col min="120" max="120" width="14" customWidth="1"/>
    <col min="121" max="121" width="16.5546875" customWidth="1"/>
    <col min="122" max="122" width="15.33203125" customWidth="1"/>
    <col min="123" max="123" width="18.88671875" bestFit="1" customWidth="1"/>
  </cols>
  <sheetData>
    <row r="1" spans="2:123" ht="4.5" customHeight="1" x14ac:dyDescent="0.3"/>
    <row r="2" spans="2:123" x14ac:dyDescent="0.3">
      <c r="AH2" s="55"/>
    </row>
    <row r="3" spans="2:123" ht="18" x14ac:dyDescent="0.3">
      <c r="B3" s="35"/>
      <c r="C3" s="35"/>
      <c r="D3" s="118" t="s">
        <v>27</v>
      </c>
      <c r="E3" s="118"/>
      <c r="F3" s="118"/>
      <c r="G3" s="118"/>
      <c r="H3" s="118"/>
      <c r="I3" s="118"/>
      <c r="J3" s="118"/>
      <c r="K3" s="118"/>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9"/>
    </row>
    <row r="4" spans="2:123" ht="15.6" x14ac:dyDescent="0.3">
      <c r="B4" s="36"/>
      <c r="C4" s="36"/>
      <c r="D4" s="119" t="s">
        <v>28</v>
      </c>
      <c r="E4" s="119"/>
      <c r="F4" s="119"/>
      <c r="G4" s="119"/>
      <c r="H4" s="119"/>
      <c r="I4" s="119"/>
      <c r="J4" s="119"/>
      <c r="K4" s="119"/>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66"/>
    </row>
    <row r="5" spans="2:123" x14ac:dyDescent="0.3">
      <c r="B5" s="37"/>
      <c r="C5" s="37"/>
      <c r="D5" s="119" t="s">
        <v>75</v>
      </c>
      <c r="E5" s="119"/>
      <c r="F5" s="119"/>
      <c r="G5" s="119"/>
      <c r="H5" s="119"/>
      <c r="I5" s="119"/>
      <c r="J5" s="119"/>
      <c r="K5" s="119"/>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10"/>
    </row>
    <row r="6" spans="2:123" x14ac:dyDescent="0.3">
      <c r="D6" s="120" t="s">
        <v>32</v>
      </c>
      <c r="E6" s="120"/>
      <c r="F6" s="120"/>
      <c r="G6" s="120"/>
      <c r="H6" s="120"/>
      <c r="I6" s="120"/>
      <c r="J6" s="120"/>
      <c r="K6" s="120"/>
      <c r="AY6" s="59"/>
      <c r="AZ6" s="59"/>
      <c r="BA6" s="59"/>
      <c r="BB6" s="59"/>
      <c r="BC6" s="59"/>
      <c r="BD6" s="59"/>
      <c r="BE6" s="59"/>
      <c r="BF6" s="59"/>
      <c r="BG6" s="59"/>
      <c r="BH6" s="59"/>
      <c r="BI6" s="59"/>
      <c r="BJ6" s="59"/>
      <c r="BK6" s="59"/>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row>
    <row r="7" spans="2:123" x14ac:dyDescent="0.3">
      <c r="D7" s="121" t="s">
        <v>31</v>
      </c>
      <c r="E7" s="121"/>
      <c r="F7" s="67"/>
      <c r="G7" s="67"/>
      <c r="H7" s="67"/>
      <c r="I7" s="67"/>
      <c r="J7" s="67"/>
      <c r="K7" s="67"/>
      <c r="AX7" s="57"/>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row>
    <row r="8" spans="2:123" x14ac:dyDescent="0.3">
      <c r="DS8" s="6"/>
    </row>
    <row r="9" spans="2:123" ht="29.25" customHeight="1" x14ac:dyDescent="0.3">
      <c r="D9" s="109" t="s">
        <v>12</v>
      </c>
      <c r="E9" s="110"/>
      <c r="F9" s="110"/>
      <c r="G9" s="110"/>
      <c r="H9" s="110"/>
      <c r="I9" s="110"/>
      <c r="J9" s="110"/>
      <c r="K9" s="110"/>
      <c r="L9" s="110"/>
      <c r="M9" s="110"/>
      <c r="N9" s="110"/>
      <c r="O9" s="111"/>
      <c r="P9" s="109" t="s">
        <v>22</v>
      </c>
      <c r="Q9" s="110"/>
      <c r="R9" s="110"/>
      <c r="S9" s="110"/>
      <c r="T9" s="110"/>
      <c r="U9" s="110"/>
      <c r="V9" s="110"/>
      <c r="W9" s="110"/>
      <c r="X9" s="110"/>
      <c r="Y9" s="110"/>
      <c r="Z9" s="110"/>
      <c r="AA9" s="111"/>
      <c r="AB9" s="112" t="s">
        <v>23</v>
      </c>
      <c r="AC9" s="113"/>
      <c r="AD9" s="113"/>
      <c r="AE9" s="113"/>
      <c r="AF9" s="113"/>
      <c r="AG9" s="113"/>
      <c r="AH9" s="113"/>
      <c r="AI9" s="113"/>
      <c r="AJ9" s="113"/>
      <c r="AK9" s="113"/>
      <c r="AL9" s="113"/>
      <c r="AM9" s="114"/>
      <c r="AN9" s="104" t="s">
        <v>24</v>
      </c>
      <c r="AO9" s="105"/>
      <c r="AP9" s="105"/>
      <c r="AQ9" s="105"/>
      <c r="AR9" s="105"/>
      <c r="AS9" s="105"/>
      <c r="AT9" s="105"/>
      <c r="AU9" s="105"/>
      <c r="AV9" s="105"/>
      <c r="AW9" s="105"/>
      <c r="AX9" s="105"/>
      <c r="AY9" s="106"/>
      <c r="AZ9" s="104" t="s">
        <v>49</v>
      </c>
      <c r="BA9" s="105"/>
      <c r="BB9" s="105"/>
      <c r="BC9" s="105"/>
      <c r="BD9" s="105"/>
      <c r="BE9" s="105"/>
      <c r="BF9" s="105"/>
      <c r="BG9" s="105"/>
      <c r="BH9" s="105"/>
      <c r="BI9" s="105"/>
      <c r="BJ9" s="105"/>
      <c r="BK9" s="106"/>
      <c r="BL9" s="104" t="s">
        <v>58</v>
      </c>
      <c r="BM9" s="105"/>
      <c r="BN9" s="105"/>
      <c r="BO9" s="105"/>
      <c r="BP9" s="105"/>
      <c r="BQ9" s="105"/>
      <c r="BR9" s="105"/>
      <c r="BS9" s="105"/>
      <c r="BT9" s="105"/>
      <c r="BU9" s="105"/>
      <c r="BV9" s="105"/>
      <c r="BW9" s="106"/>
      <c r="BX9" s="104" t="s">
        <v>60</v>
      </c>
      <c r="BY9" s="105"/>
      <c r="BZ9" s="105"/>
      <c r="CA9" s="105"/>
      <c r="CB9" s="105"/>
      <c r="CC9" s="105"/>
      <c r="CD9" s="105"/>
      <c r="CE9" s="105"/>
      <c r="CF9" s="105"/>
      <c r="CG9" s="105"/>
      <c r="CH9" s="105"/>
      <c r="CI9" s="115"/>
      <c r="CJ9" s="116" t="s">
        <v>66</v>
      </c>
      <c r="CK9" s="117"/>
      <c r="CL9" s="117"/>
      <c r="CM9" s="117"/>
      <c r="CN9" s="117"/>
      <c r="CO9" s="117"/>
      <c r="CP9" s="117"/>
      <c r="CQ9" s="117"/>
      <c r="CR9" s="117"/>
      <c r="CS9" s="117"/>
      <c r="CT9" s="117"/>
      <c r="CU9" s="115"/>
      <c r="CV9" s="104" t="s">
        <v>69</v>
      </c>
      <c r="CW9" s="105"/>
      <c r="CX9" s="105"/>
      <c r="CY9" s="105"/>
      <c r="CZ9" s="105"/>
      <c r="DA9" s="105"/>
      <c r="DB9" s="105"/>
      <c r="DC9" s="105"/>
      <c r="DD9" s="105"/>
      <c r="DE9" s="105"/>
      <c r="DF9" s="105"/>
      <c r="DG9" s="106"/>
      <c r="DH9" s="116" t="s">
        <v>71</v>
      </c>
      <c r="DI9" s="117"/>
      <c r="DJ9" s="117"/>
      <c r="DK9" s="117"/>
      <c r="DL9" s="117"/>
      <c r="DM9" s="117"/>
      <c r="DN9" s="117"/>
      <c r="DO9" s="115"/>
      <c r="DP9" s="102" t="s">
        <v>59</v>
      </c>
      <c r="DQ9" s="102" t="s">
        <v>33</v>
      </c>
      <c r="DR9" s="102" t="s">
        <v>25</v>
      </c>
      <c r="DS9" s="102" t="s">
        <v>34</v>
      </c>
    </row>
    <row r="10" spans="2:123" ht="21.75" customHeight="1" x14ac:dyDescent="0.3">
      <c r="D10" s="12" t="s">
        <v>13</v>
      </c>
      <c r="E10" s="12" t="s">
        <v>0</v>
      </c>
      <c r="F10" s="12" t="s">
        <v>15</v>
      </c>
      <c r="G10" s="12" t="s">
        <v>16</v>
      </c>
      <c r="H10" s="45" t="s">
        <v>17</v>
      </c>
      <c r="I10" s="45" t="s">
        <v>14</v>
      </c>
      <c r="J10" s="45" t="s">
        <v>4</v>
      </c>
      <c r="K10" s="45" t="s">
        <v>18</v>
      </c>
      <c r="L10" s="45" t="s">
        <v>8</v>
      </c>
      <c r="M10" s="45" t="s">
        <v>9</v>
      </c>
      <c r="N10" s="46" t="s">
        <v>10</v>
      </c>
      <c r="O10" s="46" t="s">
        <v>11</v>
      </c>
      <c r="P10" s="46" t="s">
        <v>19</v>
      </c>
      <c r="Q10" s="46" t="s">
        <v>0</v>
      </c>
      <c r="R10" s="46" t="s">
        <v>15</v>
      </c>
      <c r="S10" s="46" t="s">
        <v>16</v>
      </c>
      <c r="T10" s="46" t="s">
        <v>17</v>
      </c>
      <c r="U10" s="46" t="s">
        <v>20</v>
      </c>
      <c r="V10" s="46" t="s">
        <v>4</v>
      </c>
      <c r="W10" s="46" t="s">
        <v>21</v>
      </c>
      <c r="X10" s="46" t="s">
        <v>8</v>
      </c>
      <c r="Y10" s="46" t="s">
        <v>9</v>
      </c>
      <c r="Z10" s="46" t="s">
        <v>10</v>
      </c>
      <c r="AA10" s="47" t="s">
        <v>11</v>
      </c>
      <c r="AB10" s="47" t="s">
        <v>19</v>
      </c>
      <c r="AC10" s="46" t="s">
        <v>0</v>
      </c>
      <c r="AD10" s="46" t="s">
        <v>15</v>
      </c>
      <c r="AE10" s="46" t="s">
        <v>16</v>
      </c>
      <c r="AF10" s="46"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71" t="s">
        <v>13</v>
      </c>
      <c r="BY10" s="71" t="s">
        <v>61</v>
      </c>
      <c r="BZ10" s="71" t="s">
        <v>64</v>
      </c>
      <c r="CA10" s="71" t="s">
        <v>40</v>
      </c>
      <c r="CB10" s="71" t="s">
        <v>51</v>
      </c>
      <c r="CC10" s="71" t="s">
        <v>20</v>
      </c>
      <c r="CD10" s="71" t="s">
        <v>4</v>
      </c>
      <c r="CE10" s="71" t="s">
        <v>21</v>
      </c>
      <c r="CF10" s="71" t="s">
        <v>8</v>
      </c>
      <c r="CG10" s="71" t="s">
        <v>65</v>
      </c>
      <c r="CH10" s="71" t="s">
        <v>10</v>
      </c>
      <c r="CI10" s="13" t="s">
        <v>67</v>
      </c>
      <c r="CJ10" s="13" t="s">
        <v>19</v>
      </c>
      <c r="CK10" s="13" t="s">
        <v>61</v>
      </c>
      <c r="CL10" s="13" t="s">
        <v>64</v>
      </c>
      <c r="CM10" s="13" t="s">
        <v>16</v>
      </c>
      <c r="CN10" s="13" t="s">
        <v>17</v>
      </c>
      <c r="CO10" s="13" t="s">
        <v>20</v>
      </c>
      <c r="CP10" s="13" t="s">
        <v>4</v>
      </c>
      <c r="CQ10" s="13" t="s">
        <v>18</v>
      </c>
      <c r="CR10" s="13" t="s">
        <v>68</v>
      </c>
      <c r="CS10" s="13" t="s">
        <v>9</v>
      </c>
      <c r="CT10" s="13" t="s">
        <v>42</v>
      </c>
      <c r="CU10" s="13" t="s">
        <v>11</v>
      </c>
      <c r="CV10" s="13" t="s">
        <v>19</v>
      </c>
      <c r="CW10" s="13" t="s">
        <v>0</v>
      </c>
      <c r="CX10" s="13" t="s">
        <v>15</v>
      </c>
      <c r="CY10" s="13" t="s">
        <v>16</v>
      </c>
      <c r="CZ10" s="13" t="s">
        <v>70</v>
      </c>
      <c r="DA10" s="13" t="s">
        <v>20</v>
      </c>
      <c r="DB10" s="13" t="s">
        <v>4</v>
      </c>
      <c r="DC10" s="13" t="s">
        <v>21</v>
      </c>
      <c r="DD10" s="13" t="s">
        <v>8</v>
      </c>
      <c r="DE10" s="13" t="s">
        <v>9</v>
      </c>
      <c r="DF10" s="13" t="s">
        <v>10</v>
      </c>
      <c r="DG10" s="13" t="s">
        <v>11</v>
      </c>
      <c r="DH10" s="13" t="s">
        <v>19</v>
      </c>
      <c r="DI10" s="13" t="s">
        <v>0</v>
      </c>
      <c r="DJ10" s="13" t="s">
        <v>15</v>
      </c>
      <c r="DK10" s="13" t="s">
        <v>16</v>
      </c>
      <c r="DL10" s="13" t="s">
        <v>17</v>
      </c>
      <c r="DM10" s="13" t="s">
        <v>20</v>
      </c>
      <c r="DN10" s="13" t="s">
        <v>72</v>
      </c>
      <c r="DO10" s="13" t="s">
        <v>73</v>
      </c>
      <c r="DP10" s="103"/>
      <c r="DQ10" s="103"/>
      <c r="DR10" s="103"/>
      <c r="DS10" s="103"/>
    </row>
    <row r="11" spans="2:123" s="15" customFormat="1" x14ac:dyDescent="0.3">
      <c r="B11" s="16" t="s">
        <v>55</v>
      </c>
      <c r="C11" s="17"/>
      <c r="D11" s="18">
        <v>58184.451869952158</v>
      </c>
      <c r="E11" s="18">
        <v>60031.156642752467</v>
      </c>
      <c r="F11" s="18">
        <v>61659.068922741732</v>
      </c>
      <c r="G11" s="48">
        <v>63302.58646493253</v>
      </c>
      <c r="H11" s="48">
        <v>64984.65501304534</v>
      </c>
      <c r="I11" s="48">
        <v>66594.947313045297</v>
      </c>
      <c r="J11" s="48">
        <v>68227.121203045303</v>
      </c>
      <c r="K11" s="48">
        <v>69878.571503045299</v>
      </c>
      <c r="L11" s="48">
        <v>71559.8857230453</v>
      </c>
      <c r="M11" s="48">
        <v>73496.895000000004</v>
      </c>
      <c r="N11" s="48">
        <v>75270.690563045297</v>
      </c>
      <c r="O11" s="48">
        <v>77059.613273045296</v>
      </c>
      <c r="P11" s="48">
        <v>79517.903083045327</v>
      </c>
      <c r="Q11" s="48">
        <v>82146.581643045341</v>
      </c>
      <c r="R11" s="48">
        <v>84738.281443045329</v>
      </c>
      <c r="S11" s="48">
        <v>75694.617239999992</v>
      </c>
      <c r="T11" s="48">
        <v>79723.219169999997</v>
      </c>
      <c r="U11" s="48">
        <v>79805.903569999995</v>
      </c>
      <c r="V11" s="48">
        <v>95602.29333</v>
      </c>
      <c r="W11" s="48">
        <v>95714.932620000007</v>
      </c>
      <c r="X11" s="48">
        <v>98472.872400000007</v>
      </c>
      <c r="Y11" s="48">
        <v>103986.91131</v>
      </c>
      <c r="Z11" s="48">
        <v>104010.87256999999</v>
      </c>
      <c r="AA11" s="48">
        <v>106931.24959000001</v>
      </c>
      <c r="AB11" s="48">
        <v>112456.00290000001</v>
      </c>
      <c r="AC11" s="48">
        <v>115576.09595999999</v>
      </c>
      <c r="AD11" s="48">
        <v>118624.55781</v>
      </c>
      <c r="AE11" s="48">
        <v>121572.40184999999</v>
      </c>
      <c r="AF11" s="48">
        <v>124653.78395</v>
      </c>
      <c r="AG11" s="48">
        <v>127626.36520999999</v>
      </c>
      <c r="AH11" s="48">
        <v>130734.94763</v>
      </c>
      <c r="AI11" s="48">
        <v>134051.74841</v>
      </c>
      <c r="AJ11" s="48">
        <v>137047.88303</v>
      </c>
      <c r="AK11" s="48">
        <v>140163.92546999999</v>
      </c>
      <c r="AL11" s="48">
        <v>143273.21662999998</v>
      </c>
      <c r="AM11" s="48">
        <v>146370.68049</v>
      </c>
      <c r="AN11" s="48">
        <v>149411.21291</v>
      </c>
      <c r="AO11" s="48">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v>320538.90192999999</v>
      </c>
      <c r="BS11" s="18">
        <v>325697.42609000002</v>
      </c>
      <c r="BT11" s="18">
        <v>330971.83892000001</v>
      </c>
      <c r="BU11" s="18">
        <v>336207</v>
      </c>
      <c r="BV11" s="18">
        <v>336559.25494999997</v>
      </c>
      <c r="BW11" s="18">
        <v>337100.87566000002</v>
      </c>
      <c r="BX11" s="18">
        <v>337557.63225999998</v>
      </c>
      <c r="BY11" s="65">
        <v>342935.64020999998</v>
      </c>
      <c r="BZ11" s="65">
        <v>353850</v>
      </c>
      <c r="CA11" s="65">
        <v>353992</v>
      </c>
      <c r="CB11" s="65">
        <v>359643.57799999998</v>
      </c>
      <c r="CC11" s="65">
        <v>365322.63381000003</v>
      </c>
      <c r="CD11" s="65">
        <v>371335.58199999999</v>
      </c>
      <c r="CE11" s="65">
        <v>377333.32714000001</v>
      </c>
      <c r="CF11" s="65">
        <v>383175</v>
      </c>
      <c r="CG11" s="65">
        <v>389235.59213</v>
      </c>
      <c r="CH11" s="65">
        <v>395609.05676000001</v>
      </c>
      <c r="CI11" s="65">
        <v>411765.85243000003</v>
      </c>
      <c r="CJ11" s="65">
        <v>411946.16123000003</v>
      </c>
      <c r="CK11" s="65">
        <v>418227.66969999997</v>
      </c>
      <c r="CL11" s="65">
        <v>430667.85499999998</v>
      </c>
      <c r="CM11" s="65">
        <v>431024.61433000001</v>
      </c>
      <c r="CN11" s="65">
        <v>431024.61433000001</v>
      </c>
      <c r="CO11" s="65">
        <v>431024.61433000001</v>
      </c>
      <c r="CP11" s="65">
        <v>450827.95924</v>
      </c>
      <c r="CQ11" s="65">
        <v>462277.23356999998</v>
      </c>
      <c r="CR11" s="65">
        <v>462996.25101000001</v>
      </c>
      <c r="CS11" s="65">
        <v>475057.08323000005</v>
      </c>
      <c r="CT11" s="65">
        <v>482544.16811000003</v>
      </c>
      <c r="CU11" s="65">
        <v>489858.94851000002</v>
      </c>
      <c r="CV11" s="65">
        <v>496246.48700000002</v>
      </c>
      <c r="CW11" s="65">
        <v>496246.48700000002</v>
      </c>
      <c r="CX11" s="65">
        <v>496743.32387000002</v>
      </c>
      <c r="CY11" s="65">
        <v>519249.83013000002</v>
      </c>
      <c r="CZ11" s="65">
        <v>527284.24491999997</v>
      </c>
      <c r="DA11" s="65">
        <v>541702.96473000001</v>
      </c>
      <c r="DB11" s="65">
        <v>543127.83048999996</v>
      </c>
      <c r="DC11" s="65">
        <v>559631.50416999997</v>
      </c>
      <c r="DD11" s="65">
        <v>567716.48702</v>
      </c>
      <c r="DE11" s="65">
        <v>567792.17038000003</v>
      </c>
      <c r="DF11" s="65">
        <v>584757.46062999999</v>
      </c>
      <c r="DG11" s="65">
        <v>603816.86094000004</v>
      </c>
      <c r="DH11" s="65">
        <v>610442.67862000002</v>
      </c>
      <c r="DI11" s="65">
        <v>619931.09149000002</v>
      </c>
      <c r="DJ11" s="65">
        <v>630857.01391999994</v>
      </c>
      <c r="DK11" s="65">
        <v>639579.33033999999</v>
      </c>
      <c r="DL11" s="65">
        <v>644788.44276000001</v>
      </c>
      <c r="DM11" s="65">
        <v>655936.55001000001</v>
      </c>
      <c r="DN11" s="89">
        <v>668404.23346000002</v>
      </c>
      <c r="DO11" s="65">
        <v>676764.38176000002</v>
      </c>
      <c r="DP11" s="92">
        <v>1.2507623203886098E-2</v>
      </c>
      <c r="DQ11" s="80">
        <v>1.7065399124028602E-2</v>
      </c>
      <c r="DR11" s="92">
        <v>0.2093035805118264</v>
      </c>
      <c r="DS11" s="80">
        <v>0.22533786109816756</v>
      </c>
    </row>
    <row r="12" spans="2:123" s="20" customFormat="1" ht="19.5" customHeight="1" x14ac:dyDescent="0.3">
      <c r="B12" s="21"/>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33"/>
      <c r="DG12" s="33"/>
      <c r="DH12" s="33"/>
      <c r="DI12" s="33"/>
      <c r="DJ12" s="33"/>
      <c r="DK12" s="33"/>
      <c r="DL12" s="33"/>
      <c r="DM12" s="33"/>
      <c r="DN12" s="87"/>
      <c r="DO12" s="33"/>
      <c r="DP12" s="93"/>
      <c r="DQ12" s="81"/>
      <c r="DR12" s="93"/>
      <c r="DS12" s="84"/>
    </row>
    <row r="13" spans="2:123"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56">
        <v>6033785.7173599247</v>
      </c>
      <c r="AQ13" s="56">
        <v>6034159.8264498897</v>
      </c>
      <c r="AR13" s="56">
        <v>6039616.1374298809</v>
      </c>
      <c r="AS13" s="56">
        <v>6104674.2571898885</v>
      </c>
      <c r="AT13" s="56">
        <v>6797547.0509398803</v>
      </c>
      <c r="AU13" s="56">
        <v>7167612.3286392102</v>
      </c>
      <c r="AV13" s="56">
        <v>7237238.2432192005</v>
      </c>
      <c r="AW13" s="56">
        <v>7621940.9328191997</v>
      </c>
      <c r="AX13" s="56">
        <v>7683687.4256091202</v>
      </c>
      <c r="AY13" s="56">
        <v>7854690.4719392676</v>
      </c>
      <c r="AZ13" s="56">
        <v>7944675.9574392773</v>
      </c>
      <c r="BA13" s="56">
        <v>7952402.1517692758</v>
      </c>
      <c r="BB13" s="56">
        <v>8188998.6515392596</v>
      </c>
      <c r="BC13" s="56">
        <v>8327296.0919291005</v>
      </c>
      <c r="BD13" s="56">
        <v>8382825.338679119</v>
      </c>
      <c r="BE13" s="56">
        <v>8820931.9798204713</v>
      </c>
      <c r="BF13" s="56">
        <v>8944674.7959902938</v>
      </c>
      <c r="BG13" s="56">
        <v>9012333.877000276</v>
      </c>
      <c r="BH13" s="56">
        <v>9097042.2979502864</v>
      </c>
      <c r="BI13" s="56">
        <v>9207082.7438497264</v>
      </c>
      <c r="BJ13" s="56">
        <v>9263277.6736496966</v>
      </c>
      <c r="BK13" s="56">
        <v>9467314.7966396101</v>
      </c>
      <c r="BL13" s="56">
        <v>9471372</v>
      </c>
      <c r="BM13" s="56">
        <v>9612684</v>
      </c>
      <c r="BN13" s="56">
        <v>9834111</v>
      </c>
      <c r="BO13" s="56">
        <v>9834111</v>
      </c>
      <c r="BP13" s="56">
        <v>10172462.738829</v>
      </c>
      <c r="BQ13" s="56">
        <v>10291946.489300011</v>
      </c>
      <c r="BR13" s="56">
        <v>10381282.229</v>
      </c>
      <c r="BS13" s="56">
        <v>10428582.952649999</v>
      </c>
      <c r="BT13" s="56">
        <v>10505666.79851</v>
      </c>
      <c r="BU13" s="56">
        <v>10656719</v>
      </c>
      <c r="BV13" s="56">
        <v>10700253.557199998</v>
      </c>
      <c r="BW13" s="56">
        <v>10834565.302990001</v>
      </c>
      <c r="BX13" s="62">
        <v>10932183.21221</v>
      </c>
      <c r="BY13" s="62">
        <v>11043552.81923</v>
      </c>
      <c r="BZ13" s="62">
        <v>11120575</v>
      </c>
      <c r="CA13" s="62">
        <v>11263888.627540002</v>
      </c>
      <c r="CB13" s="62">
        <v>11330806.897559999</v>
      </c>
      <c r="CC13" s="62">
        <v>11475039.18107</v>
      </c>
      <c r="CD13" s="62">
        <v>11622845.66577</v>
      </c>
      <c r="CE13" s="62">
        <v>11841951.364</v>
      </c>
      <c r="CF13" s="62">
        <v>11924592.456209999</v>
      </c>
      <c r="CG13" s="62">
        <v>12070250.490370002</v>
      </c>
      <c r="CH13" s="62">
        <v>12224445.488879999</v>
      </c>
      <c r="CI13" s="62">
        <v>12464238.06718</v>
      </c>
      <c r="CJ13" s="62">
        <v>12607294.989049999</v>
      </c>
      <c r="CK13" s="62">
        <v>12723131.977799999</v>
      </c>
      <c r="CL13" s="62">
        <v>12610784.792239999</v>
      </c>
      <c r="CM13" s="62">
        <v>12603551.075059999</v>
      </c>
      <c r="CN13" s="62">
        <v>12568559.29129</v>
      </c>
      <c r="CO13" s="62">
        <v>12662695.69651</v>
      </c>
      <c r="CP13" s="62">
        <v>12796841.19351</v>
      </c>
      <c r="CQ13" s="62">
        <v>12990171.66323</v>
      </c>
      <c r="CR13" s="62">
        <v>13214711.75333</v>
      </c>
      <c r="CS13" s="62">
        <v>13505082.534260001</v>
      </c>
      <c r="CT13" s="62">
        <v>13680657.458309999</v>
      </c>
      <c r="CU13" s="62">
        <v>14195072.584100001</v>
      </c>
      <c r="CV13" s="62">
        <v>14416522.054100001</v>
      </c>
      <c r="CW13" s="62">
        <v>14594171.501219999</v>
      </c>
      <c r="CX13" s="62">
        <v>14873402.61671</v>
      </c>
      <c r="CY13" s="62">
        <v>15044808.743700001</v>
      </c>
      <c r="CZ13" s="62">
        <v>15394845.403999999</v>
      </c>
      <c r="DA13" s="62">
        <v>15670018.63614</v>
      </c>
      <c r="DB13" s="62">
        <v>15865181.216379998</v>
      </c>
      <c r="DC13" s="62">
        <v>16162837.552680001</v>
      </c>
      <c r="DD13" s="62">
        <v>16433115.41736</v>
      </c>
      <c r="DE13" s="62">
        <v>16774947.509540001</v>
      </c>
      <c r="DF13" s="62">
        <v>16989898.577830002</v>
      </c>
      <c r="DG13" s="62">
        <v>17520234.28382</v>
      </c>
      <c r="DH13" s="62">
        <v>17706196.63287</v>
      </c>
      <c r="DI13" s="62">
        <v>18009190.558529999</v>
      </c>
      <c r="DJ13" s="62">
        <v>18364561.82866</v>
      </c>
      <c r="DK13" s="62">
        <v>18699745.675169997</v>
      </c>
      <c r="DL13" s="62">
        <v>19082114.660259999</v>
      </c>
      <c r="DM13" s="62">
        <v>19386281.577209998</v>
      </c>
      <c r="DN13" s="88">
        <v>19561092.494279999</v>
      </c>
      <c r="DO13" s="62">
        <v>19788354.068150003</v>
      </c>
      <c r="DP13" s="94">
        <v>1.1618040962510623E-2</v>
      </c>
      <c r="DQ13" s="82">
        <v>1.7142719916044769E-2</v>
      </c>
      <c r="DR13" s="94">
        <v>0.22431188234449873</v>
      </c>
      <c r="DS13" s="82">
        <v>0.23689570671015758</v>
      </c>
    </row>
    <row r="14" spans="2:123" s="15" customFormat="1" x14ac:dyDescent="0.3">
      <c r="B14" s="23" t="s">
        <v>5</v>
      </c>
      <c r="C14" s="24"/>
      <c r="D14" s="25">
        <v>1804928.9750800005</v>
      </c>
      <c r="E14" s="25">
        <v>1818092.9893500002</v>
      </c>
      <c r="F14" s="25">
        <v>1838882.2760099999</v>
      </c>
      <c r="G14" s="25">
        <v>1888841.0684499999</v>
      </c>
      <c r="H14" s="25">
        <v>1908856.8495599998</v>
      </c>
      <c r="I14" s="25">
        <v>1928266.26926</v>
      </c>
      <c r="J14" s="25">
        <v>1942746.59996</v>
      </c>
      <c r="K14" s="25">
        <v>1976729.3110499999</v>
      </c>
      <c r="L14" s="25">
        <v>1980276.2141</v>
      </c>
      <c r="M14" s="25">
        <v>1992424.2000500001</v>
      </c>
      <c r="N14" s="25">
        <v>2016577.0013300001</v>
      </c>
      <c r="O14" s="25">
        <v>2086757.93539</v>
      </c>
      <c r="P14" s="25">
        <v>2084481.8289000001</v>
      </c>
      <c r="Q14" s="25">
        <v>2229654.6423741402</v>
      </c>
      <c r="R14" s="25">
        <v>2204263.3203039798</v>
      </c>
      <c r="S14" s="25">
        <v>2274534.6327024298</v>
      </c>
      <c r="T14" s="25">
        <v>2271800.1486656298</v>
      </c>
      <c r="U14" s="25">
        <v>2280061.8121551299</v>
      </c>
      <c r="V14" s="25">
        <v>2298877.86520566</v>
      </c>
      <c r="W14" s="25">
        <v>2326729.5673905299</v>
      </c>
      <c r="X14" s="25">
        <v>2330316.82224845</v>
      </c>
      <c r="Y14" s="25">
        <v>2361377.7087599998</v>
      </c>
      <c r="Z14" s="25">
        <v>2355390.1125400001</v>
      </c>
      <c r="AA14" s="25">
        <v>2439641.0196699998</v>
      </c>
      <c r="AB14" s="25">
        <v>2486283.7650000001</v>
      </c>
      <c r="AC14" s="25">
        <v>2494984.378</v>
      </c>
      <c r="AD14" s="25">
        <v>2512222.7680000002</v>
      </c>
      <c r="AE14" s="25">
        <v>2560018</v>
      </c>
      <c r="AF14" s="25">
        <v>2664808</v>
      </c>
      <c r="AG14" s="25">
        <v>2713593.2485999898</v>
      </c>
      <c r="AH14" s="25">
        <v>2713413.9991599997</v>
      </c>
      <c r="AI14" s="25">
        <v>2742885</v>
      </c>
      <c r="AJ14" s="25">
        <v>2731743</v>
      </c>
      <c r="AK14" s="25">
        <v>2722032</v>
      </c>
      <c r="AL14" s="25">
        <v>2693421</v>
      </c>
      <c r="AM14" s="25">
        <v>2591087</v>
      </c>
      <c r="AN14" s="25">
        <v>2587626</v>
      </c>
      <c r="AO14" s="25">
        <v>2611484.7750799987</v>
      </c>
      <c r="AP14" s="25">
        <v>2576239.6541598663</v>
      </c>
      <c r="AQ14" s="25">
        <v>2573381.4469098803</v>
      </c>
      <c r="AR14" s="25">
        <v>2605950.9344798899</v>
      </c>
      <c r="AS14" s="25">
        <v>2618573.8576698801</v>
      </c>
      <c r="AT14" s="25">
        <v>2941827.6113798898</v>
      </c>
      <c r="AU14" s="25">
        <v>3053984.3348996202</v>
      </c>
      <c r="AV14" s="25">
        <v>3057006.9646596336</v>
      </c>
      <c r="AW14" s="25">
        <v>3052545.9473796301</v>
      </c>
      <c r="AX14" s="25">
        <v>3111327.727209643</v>
      </c>
      <c r="AY14" s="25">
        <v>3176874.7111796234</v>
      </c>
      <c r="AZ14" s="25">
        <v>3182904.0107096098</v>
      </c>
      <c r="BA14" s="25">
        <v>3184830.8533296105</v>
      </c>
      <c r="BB14" s="25">
        <v>3703331.8106996398</v>
      </c>
      <c r="BC14" s="25">
        <v>3752601.0873296605</v>
      </c>
      <c r="BD14" s="25">
        <v>3770609.9607096589</v>
      </c>
      <c r="BE14" s="25">
        <v>3899704.3861396643</v>
      </c>
      <c r="BF14" s="25">
        <v>3923480.3097196799</v>
      </c>
      <c r="BG14" s="25">
        <v>3972863.6854796973</v>
      </c>
      <c r="BH14" s="25">
        <v>3978451.6989496965</v>
      </c>
      <c r="BI14" s="25">
        <v>4029837.2830997775</v>
      </c>
      <c r="BJ14" s="25">
        <v>4029305.9075997621</v>
      </c>
      <c r="BK14" s="25">
        <v>4125703.73379975</v>
      </c>
      <c r="BL14" s="25">
        <v>4125151</v>
      </c>
      <c r="BM14" s="25">
        <v>4139861</v>
      </c>
      <c r="BN14" s="25">
        <v>4180405</v>
      </c>
      <c r="BO14" s="25">
        <v>4180405</v>
      </c>
      <c r="BP14" s="25">
        <v>4422503.0663899202</v>
      </c>
      <c r="BQ14" s="25">
        <v>4465672.7163500022</v>
      </c>
      <c r="BR14" s="25">
        <v>4498642.1929500001</v>
      </c>
      <c r="BS14" s="25">
        <v>4517677.5185600007</v>
      </c>
      <c r="BT14" s="25">
        <v>4528248.9072000002</v>
      </c>
      <c r="BU14" s="25">
        <v>4566748</v>
      </c>
      <c r="BV14" s="25">
        <v>4569453.3421999998</v>
      </c>
      <c r="BW14" s="25">
        <v>4600465.5214299997</v>
      </c>
      <c r="BX14" s="25">
        <v>4601195.23704</v>
      </c>
      <c r="BY14" s="25">
        <v>4666754.1384700006</v>
      </c>
      <c r="BZ14" s="25">
        <v>4668481</v>
      </c>
      <c r="CA14" s="25">
        <v>4745814.7856163997</v>
      </c>
      <c r="CB14" s="25">
        <v>4741320.1760726003</v>
      </c>
      <c r="CC14" s="25">
        <v>4790854.4623224996</v>
      </c>
      <c r="CD14" s="25">
        <v>4904901.1643199995</v>
      </c>
      <c r="CE14" s="25">
        <v>4978209.7881899904</v>
      </c>
      <c r="CF14" s="25">
        <v>4939301.0573000005</v>
      </c>
      <c r="CG14" s="25">
        <v>4993360.9886000007</v>
      </c>
      <c r="CH14" s="25">
        <v>5023794.9926899998</v>
      </c>
      <c r="CI14" s="25">
        <v>5132992.3245200003</v>
      </c>
      <c r="CJ14" s="25">
        <v>5146603.7747499999</v>
      </c>
      <c r="CK14" s="25">
        <v>5169310.4340000004</v>
      </c>
      <c r="CL14" s="25">
        <v>5094463.4851400005</v>
      </c>
      <c r="CM14" s="25">
        <v>5087810.6476800004</v>
      </c>
      <c r="CN14" s="25">
        <v>5068372.1086499998</v>
      </c>
      <c r="CO14" s="25">
        <v>5154327.8085500002</v>
      </c>
      <c r="CP14" s="25">
        <v>5195171.5482200002</v>
      </c>
      <c r="CQ14" s="25">
        <v>5263687.9524300005</v>
      </c>
      <c r="CR14" s="25">
        <v>5310738.0659499997</v>
      </c>
      <c r="CS14" s="25">
        <v>5391101.4858500008</v>
      </c>
      <c r="CT14" s="25">
        <v>5410732.1343100006</v>
      </c>
      <c r="CU14" s="25">
        <v>5571005.9791099997</v>
      </c>
      <c r="CV14" s="25">
        <v>5564352.9716600003</v>
      </c>
      <c r="CW14" s="25">
        <v>5594574.8425200004</v>
      </c>
      <c r="CX14" s="25">
        <v>5676597.2875600001</v>
      </c>
      <c r="CY14" s="25">
        <v>5712237.4847299997</v>
      </c>
      <c r="CZ14" s="25">
        <v>5771100.0580600007</v>
      </c>
      <c r="DA14" s="25">
        <v>5886004.9922799999</v>
      </c>
      <c r="DB14" s="25">
        <v>5934333.5954499999</v>
      </c>
      <c r="DC14" s="25">
        <v>6019682.1430699993</v>
      </c>
      <c r="DD14" s="25">
        <v>6075881.9890000001</v>
      </c>
      <c r="DE14" s="25">
        <v>6158202.6940600006</v>
      </c>
      <c r="DF14" s="25">
        <v>6210647.0575900003</v>
      </c>
      <c r="DG14" s="25">
        <v>6349194.8255900005</v>
      </c>
      <c r="DH14" s="25">
        <v>6328520.0593800005</v>
      </c>
      <c r="DI14" s="25">
        <v>6392791.6434799992</v>
      </c>
      <c r="DJ14" s="25">
        <v>6465577.3181999996</v>
      </c>
      <c r="DK14" s="25">
        <v>6558036.4397200001</v>
      </c>
      <c r="DL14" s="25">
        <v>6643559.7435799995</v>
      </c>
      <c r="DM14" s="25">
        <v>6802690.2242399994</v>
      </c>
      <c r="DN14" s="85">
        <v>6835520.8259300003</v>
      </c>
      <c r="DO14" s="91">
        <v>6948220.8799000001</v>
      </c>
      <c r="DP14" s="94">
        <v>1.6487412859965467E-2</v>
      </c>
      <c r="DQ14" s="82">
        <v>1.220705139956646E-2</v>
      </c>
      <c r="DR14" s="94">
        <v>0.15425045953613292</v>
      </c>
      <c r="DS14" s="82">
        <v>0.14595533002884853</v>
      </c>
    </row>
    <row r="15" spans="2:123" s="15" customFormat="1" x14ac:dyDescent="0.3">
      <c r="B15" s="23" t="s">
        <v>6</v>
      </c>
      <c r="C15" s="24"/>
      <c r="D15" s="25">
        <v>1126031.955009999</v>
      </c>
      <c r="E15" s="25">
        <v>1161668.4050400003</v>
      </c>
      <c r="F15" s="25">
        <v>1187560.2396100003</v>
      </c>
      <c r="G15" s="25">
        <v>1214461.5034900003</v>
      </c>
      <c r="H15" s="25">
        <v>1238277.5459200006</v>
      </c>
      <c r="I15" s="25">
        <v>1261268.9524599998</v>
      </c>
      <c r="J15" s="25">
        <v>1276254.8029099999</v>
      </c>
      <c r="K15" s="25">
        <v>1309458.0815000001</v>
      </c>
      <c r="L15" s="25">
        <v>1326388.6753900009</v>
      </c>
      <c r="M15" s="25">
        <v>1342788.8992599999</v>
      </c>
      <c r="N15" s="25">
        <v>1376908.4471999996</v>
      </c>
      <c r="O15" s="25">
        <v>1417864.74153</v>
      </c>
      <c r="P15" s="25">
        <v>1456155.8818000001</v>
      </c>
      <c r="Q15" s="25">
        <v>2568035.8173858589</v>
      </c>
      <c r="R15" s="25">
        <v>2588644.2259760206</v>
      </c>
      <c r="S15" s="25">
        <v>2660845.3280175719</v>
      </c>
      <c r="T15" s="25">
        <v>2748763.2963243718</v>
      </c>
      <c r="U15" s="25">
        <v>2776435.2300348696</v>
      </c>
      <c r="V15" s="25">
        <v>2808313.4601443405</v>
      </c>
      <c r="W15" s="25">
        <v>2844850.0533394604</v>
      </c>
      <c r="X15" s="25">
        <v>2875791.9033915424</v>
      </c>
      <c r="Y15" s="25">
        <v>2915316.1481299782</v>
      </c>
      <c r="Z15" s="25">
        <v>2970310.0539099397</v>
      </c>
      <c r="AA15" s="25">
        <v>3030564.4339299905</v>
      </c>
      <c r="AB15" s="25">
        <v>2997776.1916200002</v>
      </c>
      <c r="AC15" s="25">
        <v>3018096.179</v>
      </c>
      <c r="AD15" s="25">
        <v>3070257.5980000002</v>
      </c>
      <c r="AE15" s="25">
        <v>3062270</v>
      </c>
      <c r="AF15" s="25">
        <v>3141078</v>
      </c>
      <c r="AG15" s="25">
        <v>3207986.3514000005</v>
      </c>
      <c r="AH15" s="25">
        <v>3214157.1518900008</v>
      </c>
      <c r="AI15" s="25">
        <v>3160141</v>
      </c>
      <c r="AJ15" s="25">
        <v>3156883</v>
      </c>
      <c r="AK15" s="25">
        <v>3161803</v>
      </c>
      <c r="AL15" s="25">
        <v>3147608</v>
      </c>
      <c r="AM15" s="25">
        <v>3292750</v>
      </c>
      <c r="AN15" s="25">
        <v>3312045</v>
      </c>
      <c r="AO15" s="25">
        <v>3366526.3174499855</v>
      </c>
      <c r="AP15" s="25">
        <v>3457546.0632000584</v>
      </c>
      <c r="AQ15" s="25">
        <v>3460778.3795400094</v>
      </c>
      <c r="AR15" s="25">
        <v>3433665.202949991</v>
      </c>
      <c r="AS15" s="25">
        <v>3486100.3995200084</v>
      </c>
      <c r="AT15" s="25">
        <v>3855719.4395599905</v>
      </c>
      <c r="AU15" s="25">
        <v>4113627.99373959</v>
      </c>
      <c r="AV15" s="25">
        <v>4180231.2785595669</v>
      </c>
      <c r="AW15" s="25">
        <v>4569394.9854395697</v>
      </c>
      <c r="AX15" s="25">
        <v>4572359.6983994767</v>
      </c>
      <c r="AY15" s="25">
        <v>4677815.7607596442</v>
      </c>
      <c r="AZ15" s="25">
        <v>4761771.9467296675</v>
      </c>
      <c r="BA15" s="25">
        <v>4767571.2984396648</v>
      </c>
      <c r="BB15" s="25">
        <v>4485666.8408396197</v>
      </c>
      <c r="BC15" s="25">
        <v>4574695.0045994399</v>
      </c>
      <c r="BD15" s="25">
        <v>4612215.3779694606</v>
      </c>
      <c r="BE15" s="25">
        <v>4921227.5936808065</v>
      </c>
      <c r="BF15" s="25">
        <v>5021194.486270614</v>
      </c>
      <c r="BG15" s="25">
        <v>5039470.1915205792</v>
      </c>
      <c r="BH15" s="25">
        <v>5118590.5990005899</v>
      </c>
      <c r="BI15" s="25">
        <v>5177245.4607499484</v>
      </c>
      <c r="BJ15" s="25">
        <v>5233971.7660499346</v>
      </c>
      <c r="BK15" s="25">
        <v>5341611.0628398601</v>
      </c>
      <c r="BL15" s="25">
        <v>5346221</v>
      </c>
      <c r="BM15" s="25">
        <v>5472823</v>
      </c>
      <c r="BN15" s="25">
        <v>5653706</v>
      </c>
      <c r="BO15" s="25">
        <v>5653706</v>
      </c>
      <c r="BP15" s="25">
        <v>5749959.6724390797</v>
      </c>
      <c r="BQ15" s="25">
        <v>5826273.7729500085</v>
      </c>
      <c r="BR15" s="25">
        <v>5882640.0360500002</v>
      </c>
      <c r="BS15" s="25">
        <v>5910905.4340899987</v>
      </c>
      <c r="BT15" s="25">
        <v>5977417.8913099999</v>
      </c>
      <c r="BU15" s="25">
        <v>6089971</v>
      </c>
      <c r="BV15" s="25">
        <v>6130800.214999998</v>
      </c>
      <c r="BW15" s="25">
        <v>6234099.781560001</v>
      </c>
      <c r="BX15" s="25">
        <v>6330987.9751699995</v>
      </c>
      <c r="BY15" s="25">
        <v>6376798.680759999</v>
      </c>
      <c r="BZ15" s="25">
        <v>6452094</v>
      </c>
      <c r="CA15" s="25">
        <v>6518073.8419236019</v>
      </c>
      <c r="CB15" s="25">
        <v>6589486.7214873983</v>
      </c>
      <c r="CC15" s="25">
        <v>6684184.7187475003</v>
      </c>
      <c r="CD15" s="25">
        <v>6717944.5014500003</v>
      </c>
      <c r="CE15" s="25">
        <v>6863741.5758100096</v>
      </c>
      <c r="CF15" s="25">
        <v>6985291.3989099981</v>
      </c>
      <c r="CG15" s="25">
        <v>7076889.5017700009</v>
      </c>
      <c r="CH15" s="25">
        <v>7200650.4961899994</v>
      </c>
      <c r="CI15" s="25">
        <v>7331245.74266</v>
      </c>
      <c r="CJ15" s="25">
        <v>7460691.2142999992</v>
      </c>
      <c r="CK15" s="25">
        <v>7553821.5437999982</v>
      </c>
      <c r="CL15" s="25">
        <v>7516321.3070999989</v>
      </c>
      <c r="CM15" s="25">
        <v>7515740.4273799984</v>
      </c>
      <c r="CN15" s="25">
        <v>7500187.1826400002</v>
      </c>
      <c r="CO15" s="25">
        <v>7508367.88796</v>
      </c>
      <c r="CP15" s="25">
        <v>7601669.6452899994</v>
      </c>
      <c r="CQ15" s="25">
        <v>7726483.7107999995</v>
      </c>
      <c r="CR15" s="25">
        <v>7903973.68738</v>
      </c>
      <c r="CS15" s="25">
        <v>8113981.0484100003</v>
      </c>
      <c r="CT15" s="25">
        <v>8269925.3239999982</v>
      </c>
      <c r="CU15" s="25">
        <v>8624066.6049900018</v>
      </c>
      <c r="CV15" s="25">
        <v>8852169.08244</v>
      </c>
      <c r="CW15" s="25">
        <v>8999596.6586999986</v>
      </c>
      <c r="CX15" s="25">
        <v>9196805.3291499987</v>
      </c>
      <c r="CY15" s="25">
        <v>9332571.2589700017</v>
      </c>
      <c r="CZ15" s="25">
        <v>9623745.3459399976</v>
      </c>
      <c r="DA15" s="25">
        <v>9784013.6438600011</v>
      </c>
      <c r="DB15" s="25">
        <v>9930847.6209299974</v>
      </c>
      <c r="DC15" s="25">
        <v>10143155.409610001</v>
      </c>
      <c r="DD15" s="25">
        <v>10357233.42836</v>
      </c>
      <c r="DE15" s="25">
        <v>10616744.815480001</v>
      </c>
      <c r="DF15" s="25">
        <v>10779251.520240001</v>
      </c>
      <c r="DG15" s="25">
        <v>11171039.45823</v>
      </c>
      <c r="DH15" s="25">
        <v>11377676.573489999</v>
      </c>
      <c r="DI15" s="25">
        <v>11616398.91505</v>
      </c>
      <c r="DJ15" s="25">
        <v>11898984.51046</v>
      </c>
      <c r="DK15" s="25">
        <v>12141709.235449996</v>
      </c>
      <c r="DL15" s="25">
        <v>12438554.916680001</v>
      </c>
      <c r="DM15" s="25">
        <v>12583591.352969998</v>
      </c>
      <c r="DN15" s="85">
        <v>12725571.66835</v>
      </c>
      <c r="DO15" s="85">
        <v>12840133.188250002</v>
      </c>
      <c r="DP15" s="94">
        <v>9.0024654990494835E-3</v>
      </c>
      <c r="DQ15" s="82">
        <v>1.9960431220969355E-2</v>
      </c>
      <c r="DR15" s="94">
        <v>0.26589139865537148</v>
      </c>
      <c r="DS15" s="82">
        <v>0.29433795486864311</v>
      </c>
    </row>
    <row r="16" spans="2:123" s="15" customFormat="1" x14ac:dyDescent="0.3">
      <c r="B16" s="26" t="s">
        <v>41</v>
      </c>
      <c r="C16" s="27"/>
      <c r="D16" s="28">
        <v>2246616.9750800002</v>
      </c>
      <c r="E16" s="28">
        <v>2271343.9893499999</v>
      </c>
      <c r="F16" s="28">
        <v>2300906.2760099997</v>
      </c>
      <c r="G16" s="28">
        <v>2361467.0684499997</v>
      </c>
      <c r="H16" s="28">
        <v>2393975.84956</v>
      </c>
      <c r="I16" s="28">
        <v>2422964.26926</v>
      </c>
      <c r="J16" s="28">
        <v>2444388.5999599998</v>
      </c>
      <c r="K16" s="28">
        <v>2493840.3110500001</v>
      </c>
      <c r="L16" s="28">
        <v>2504021.2141</v>
      </c>
      <c r="M16" s="28">
        <v>2523020.2000500001</v>
      </c>
      <c r="N16" s="28">
        <v>2556814.0013299999</v>
      </c>
      <c r="O16" s="28">
        <v>2642432.9353900002</v>
      </c>
      <c r="P16" s="28">
        <v>2650107.8289000001</v>
      </c>
      <c r="Q16" s="28">
        <v>2966311.5486234501</v>
      </c>
      <c r="R16" s="28">
        <v>2948729.7605882999</v>
      </c>
      <c r="S16" s="28">
        <v>3039556.9197827401</v>
      </c>
      <c r="T16" s="28">
        <v>3044842.20689337</v>
      </c>
      <c r="U16" s="28">
        <v>3057850.5020287898</v>
      </c>
      <c r="V16" s="28">
        <v>3085811.5549810701</v>
      </c>
      <c r="W16" s="28">
        <v>3124314.86977759</v>
      </c>
      <c r="X16" s="28">
        <v>3136416.9581800099</v>
      </c>
      <c r="Y16" s="28">
        <v>3181655.7087599998</v>
      </c>
      <c r="Z16" s="28">
        <v>3187436.1125400001</v>
      </c>
      <c r="AA16" s="28">
        <v>3287036.0196699998</v>
      </c>
      <c r="AB16" s="28">
        <v>3356702.7650000001</v>
      </c>
      <c r="AC16" s="28">
        <v>3350454.378</v>
      </c>
      <c r="AD16" s="28">
        <v>3400802.7680000002</v>
      </c>
      <c r="AE16" s="28">
        <v>3462719</v>
      </c>
      <c r="AF16" s="28">
        <v>3598833</v>
      </c>
      <c r="AG16" s="28">
        <v>3668127.1664516903</v>
      </c>
      <c r="AH16" s="28">
        <v>3670240.2655660901</v>
      </c>
      <c r="AI16" s="28">
        <v>3697129</v>
      </c>
      <c r="AJ16" s="28">
        <v>3685435</v>
      </c>
      <c r="AK16" s="28">
        <v>3677185</v>
      </c>
      <c r="AL16" s="28">
        <v>3648057</v>
      </c>
      <c r="AM16" s="28">
        <v>3524353</v>
      </c>
      <c r="AN16" s="28">
        <v>3513258</v>
      </c>
      <c r="AO16" s="28">
        <v>3553209.5530030862</v>
      </c>
      <c r="AP16" s="28">
        <v>3522635.6850111596</v>
      </c>
      <c r="AQ16" s="28">
        <v>3517329.9584667548</v>
      </c>
      <c r="AR16" s="28">
        <v>3553734.79096225</v>
      </c>
      <c r="AS16" s="28">
        <v>3574589.3033777801</v>
      </c>
      <c r="AT16" s="28">
        <v>4035730.8585110698</v>
      </c>
      <c r="AU16" s="28">
        <v>4190133.2593693398</v>
      </c>
      <c r="AV16" s="28">
        <v>4204074.8891293546</v>
      </c>
      <c r="AW16" s="28">
        <v>4339074.7420398695</v>
      </c>
      <c r="AX16" s="28">
        <v>4369217.3459676234</v>
      </c>
      <c r="AY16" s="28">
        <v>4461030.7083124025</v>
      </c>
      <c r="AZ16" s="28">
        <v>4483830.007842388</v>
      </c>
      <c r="BA16" s="28">
        <v>4489084.8504623901</v>
      </c>
      <c r="BB16" s="28">
        <v>5189297.5044860402</v>
      </c>
      <c r="BC16" s="28">
        <v>5265414.8539429018</v>
      </c>
      <c r="BD16" s="28">
        <v>5296374.6907213302</v>
      </c>
      <c r="BE16" s="28">
        <v>5496227.8203121107</v>
      </c>
      <c r="BF16" s="28">
        <v>5539822.5796265798</v>
      </c>
      <c r="BG16" s="28">
        <v>5608130.7853865968</v>
      </c>
      <c r="BH16" s="28">
        <v>5631108.290047328</v>
      </c>
      <c r="BI16" s="28">
        <v>5719089.4618911762</v>
      </c>
      <c r="BJ16" s="28">
        <v>5737427.1163911605</v>
      </c>
      <c r="BK16" s="28">
        <v>5872497.1283989204</v>
      </c>
      <c r="BL16" s="28">
        <v>5872569</v>
      </c>
      <c r="BM16" s="28">
        <v>5926034</v>
      </c>
      <c r="BN16" s="28">
        <v>6025619</v>
      </c>
      <c r="BO16" s="28">
        <v>6025619</v>
      </c>
      <c r="BP16" s="28">
        <v>6329006.8270098306</v>
      </c>
      <c r="BQ16" s="28">
        <v>6401644.7888847906</v>
      </c>
      <c r="BR16" s="28">
        <v>6460382.0178863397</v>
      </c>
      <c r="BS16" s="61">
        <v>6486766.9276036462</v>
      </c>
      <c r="BT16" s="61">
        <v>6502225.4407056402</v>
      </c>
      <c r="BU16" s="61">
        <v>6584461</v>
      </c>
      <c r="BV16" s="56">
        <v>6709579.4857897889</v>
      </c>
      <c r="BW16" s="56">
        <v>6702133.4540942684</v>
      </c>
      <c r="BX16" s="56">
        <v>6731739.2691228902</v>
      </c>
      <c r="BY16" s="56">
        <v>6789495.7412841497</v>
      </c>
      <c r="BZ16" s="68">
        <v>6806666</v>
      </c>
      <c r="CA16" s="68">
        <v>6916280.8378195604</v>
      </c>
      <c r="CB16" s="68">
        <v>6937854.2131651398</v>
      </c>
      <c r="CC16" s="68">
        <v>7019436.4107005103</v>
      </c>
      <c r="CD16" s="68">
        <v>7157331.1191400001</v>
      </c>
      <c r="CE16" s="68">
        <v>7269383.0381400008</v>
      </c>
      <c r="CF16" s="68">
        <v>7267837.1122299992</v>
      </c>
      <c r="CG16" s="68">
        <v>7360290.1828800002</v>
      </c>
      <c r="CH16" s="68">
        <v>7430589.6973700002</v>
      </c>
      <c r="CI16" s="68">
        <v>7571012.0741600003</v>
      </c>
      <c r="CJ16" s="68">
        <v>7618992.8713599993</v>
      </c>
      <c r="CK16" s="72">
        <v>7673268.7814799994</v>
      </c>
      <c r="CL16" s="74">
        <v>7591096.3266199995</v>
      </c>
      <c r="CM16" s="74">
        <v>7584190.5487399995</v>
      </c>
      <c r="CN16" s="74">
        <v>7558849.3390100002</v>
      </c>
      <c r="CO16" s="74">
        <v>7675183.0342899999</v>
      </c>
      <c r="CP16" s="74">
        <v>7742161.5597999999</v>
      </c>
      <c r="CQ16" s="74">
        <v>7847086.1442499999</v>
      </c>
      <c r="CR16" s="74">
        <v>7942001.9648599997</v>
      </c>
      <c r="CS16" s="74">
        <v>8070382.0309600001</v>
      </c>
      <c r="CT16" s="74">
        <v>8117444.7058000006</v>
      </c>
      <c r="CU16" s="74">
        <v>8360692.7079399992</v>
      </c>
      <c r="CV16" s="74">
        <v>8389695.52214</v>
      </c>
      <c r="CW16" s="74">
        <v>8445832.48563</v>
      </c>
      <c r="CX16" s="74">
        <v>8557955.9458600003</v>
      </c>
      <c r="CY16" s="74">
        <v>8624772.0470700003</v>
      </c>
      <c r="CZ16" s="74">
        <v>8753476.900700001</v>
      </c>
      <c r="DA16" s="74">
        <v>8917890.1308500003</v>
      </c>
      <c r="DB16" s="74">
        <v>9004322.3310499992</v>
      </c>
      <c r="DC16" s="74">
        <v>9136369.2808199991</v>
      </c>
      <c r="DD16" s="74">
        <v>9238398.757579999</v>
      </c>
      <c r="DE16" s="74">
        <v>9377464.0888400003</v>
      </c>
      <c r="DF16" s="74">
        <v>9468836.4918099996</v>
      </c>
      <c r="DG16" s="74">
        <v>9688206.1310400013</v>
      </c>
      <c r="DH16" s="74">
        <v>9711205.494690001</v>
      </c>
      <c r="DI16" s="74">
        <v>9829379.3865300007</v>
      </c>
      <c r="DJ16" s="74">
        <v>9958218.8881800007</v>
      </c>
      <c r="DK16" s="74">
        <v>10113400.204629999</v>
      </c>
      <c r="DL16" s="74">
        <v>10274055.736879999</v>
      </c>
      <c r="DM16" s="74">
        <v>10274055.736879999</v>
      </c>
      <c r="DN16" s="90">
        <v>10579498.811009999</v>
      </c>
      <c r="DO16" s="74">
        <v>10744358.87198</v>
      </c>
      <c r="DP16" s="94">
        <v>1.5582974573278729E-2</v>
      </c>
      <c r="DQ16" s="82">
        <v>1.368324253990294E-2</v>
      </c>
      <c r="DR16" s="94">
        <v>0.1759987519917412</v>
      </c>
      <c r="DS16" s="82">
        <v>0.16528859751734326</v>
      </c>
    </row>
    <row r="17" spans="1:123" s="15" customFormat="1" x14ac:dyDescent="0.3">
      <c r="B17" s="29" t="s">
        <v>1</v>
      </c>
      <c r="C17" s="30"/>
      <c r="D17" s="31">
        <v>2.5898696802947575E-2</v>
      </c>
      <c r="E17" s="31">
        <v>2.6429795277258656E-2</v>
      </c>
      <c r="F17" s="31">
        <v>2.6797731644100119E-2</v>
      </c>
      <c r="G17" s="31">
        <v>2.6806465908704186E-2</v>
      </c>
      <c r="H17" s="31">
        <v>2.7145075429641102E-2</v>
      </c>
      <c r="I17" s="31">
        <v>2.748490687953237E-2</v>
      </c>
      <c r="J17" s="31">
        <v>2.7911732694286734E-2</v>
      </c>
      <c r="K17" s="31">
        <v>2.8020467546947224E-2</v>
      </c>
      <c r="L17" s="31">
        <v>2.8577987007496454E-2</v>
      </c>
      <c r="M17" s="31">
        <v>2.9130521824020067E-2</v>
      </c>
      <c r="N17" s="31">
        <v>2.943925155443106E-2</v>
      </c>
      <c r="O17" s="31">
        <v>2.9162372388335359E-2</v>
      </c>
      <c r="P17" s="31">
        <v>3.0005534950648182E-2</v>
      </c>
      <c r="Q17" s="31">
        <v>2.7693173928802717E-2</v>
      </c>
      <c r="R17" s="31">
        <v>2.8737215113988347E-2</v>
      </c>
      <c r="S17" s="31">
        <v>2.4903174784241401E-2</v>
      </c>
      <c r="T17" s="31">
        <v>2.6183037987817768E-2</v>
      </c>
      <c r="U17" s="31">
        <v>2.6098693679449413E-2</v>
      </c>
      <c r="V17" s="31">
        <v>3.098124808550938E-2</v>
      </c>
      <c r="W17" s="31">
        <v>3.0635495015524362E-2</v>
      </c>
      <c r="X17" s="31">
        <v>3.1396613942918337E-2</v>
      </c>
      <c r="Y17" s="31">
        <v>3.2683269601954279E-2</v>
      </c>
      <c r="Z17" s="31">
        <v>3.2631516020290033E-2</v>
      </c>
      <c r="AA17" s="31">
        <v>3.2531207127062547E-2</v>
      </c>
      <c r="AB17" s="31">
        <v>3.3501924588786161E-2</v>
      </c>
      <c r="AC17" s="31">
        <v>3.4495648327255032E-2</v>
      </c>
      <c r="AD17" s="31">
        <v>3.4881340054825551E-2</v>
      </c>
      <c r="AE17" s="31">
        <v>3.510894238025089E-2</v>
      </c>
      <c r="AF17" s="31">
        <v>3.4637279348611064E-2</v>
      </c>
      <c r="AG17" s="31">
        <v>3.479333169723707E-2</v>
      </c>
      <c r="AH17" s="31">
        <v>3.5620269565604504E-2</v>
      </c>
      <c r="AI17" s="31">
        <v>3.6258336782406024E-2</v>
      </c>
      <c r="AJ17" s="31">
        <v>3.7186351958452664E-2</v>
      </c>
      <c r="AK17" s="31">
        <v>3.8117180797267475E-2</v>
      </c>
      <c r="AL17" s="31">
        <v>3.9273842659256687E-2</v>
      </c>
      <c r="AM17" s="31">
        <v>4.1531220195593348E-2</v>
      </c>
      <c r="AN17" s="31">
        <v>4.2527822582343798E-2</v>
      </c>
      <c r="AO17" s="31">
        <v>4.290184339990926E-2</v>
      </c>
      <c r="AP17" s="31">
        <v>4.4088752254693629E-2</v>
      </c>
      <c r="AQ17" s="31">
        <v>4.5040011847241476E-2</v>
      </c>
      <c r="AR17" s="31">
        <v>4.5490935736435846E-2</v>
      </c>
      <c r="AS17" s="31">
        <v>4.6128691196548763E-2</v>
      </c>
      <c r="AT17" s="31">
        <v>4.1670058293244015E-2</v>
      </c>
      <c r="AU17" s="31">
        <v>4.7902625832050572E-2</v>
      </c>
      <c r="AV17" s="31">
        <v>4.8839153715104625E-2</v>
      </c>
      <c r="AW17" s="31">
        <v>4.8295319269260582E-2</v>
      </c>
      <c r="AX17" s="31">
        <v>4.8778085948663466E-2</v>
      </c>
      <c r="AY17" s="31">
        <v>4.8604710267064082E-2</v>
      </c>
      <c r="AZ17" s="31">
        <v>4.7539361690157267E-2</v>
      </c>
      <c r="BA17" s="31">
        <v>4.8047131547933088E-2</v>
      </c>
      <c r="BB17" s="31">
        <v>4.9737800507077157E-2</v>
      </c>
      <c r="BC17" s="31">
        <v>4.9567658254802006E-2</v>
      </c>
      <c r="BD17" s="31">
        <v>4.9733769081984174E-2</v>
      </c>
      <c r="BE17" s="31">
        <v>4.8381664751462133E-2</v>
      </c>
      <c r="BF17" s="31">
        <v>4.8562673494163468E-2</v>
      </c>
      <c r="BG17" s="31">
        <v>4.8438443243486853E-2</v>
      </c>
      <c r="BH17" s="31">
        <v>4.8893666771889763E-2</v>
      </c>
      <c r="BI17" s="31">
        <v>4.8776408917680265E-2</v>
      </c>
      <c r="BJ17" s="31">
        <v>4.9243750581656677E-2</v>
      </c>
      <c r="BK17" s="31">
        <v>4.8726612359879552E-2</v>
      </c>
      <c r="BL17" s="31">
        <v>4.9551676474129128E-2</v>
      </c>
      <c r="BM17" s="31">
        <v>4.9104618562768966E-2</v>
      </c>
      <c r="BN17" s="31">
        <v>4.9883745877394518E-2</v>
      </c>
      <c r="BO17" s="31">
        <v>5.0699024538391819E-2</v>
      </c>
      <c r="BP17" s="31">
        <v>4.9073013837581315E-2</v>
      </c>
      <c r="BQ17" s="31">
        <v>4.9237356084999205E-2</v>
      </c>
      <c r="BR17" s="31">
        <v>4.9616090974581646E-2</v>
      </c>
      <c r="BS17" s="31">
        <v>5.0209515730252972E-2</v>
      </c>
      <c r="BT17" s="31">
        <v>5.0901317085690276E-2</v>
      </c>
      <c r="BU17" s="31">
        <v>5.1060671480930631E-2</v>
      </c>
      <c r="BV17" s="31">
        <v>5.0161005717690423E-2</v>
      </c>
      <c r="BW17" s="31">
        <v>5.0297547485281473E-2</v>
      </c>
      <c r="BX17" s="31">
        <v>5.0144192869784443E-2</v>
      </c>
      <c r="BY17" s="31">
        <v>5.0509736404244054E-2</v>
      </c>
      <c r="BZ17" s="31">
        <v>5.1985803328678096E-2</v>
      </c>
      <c r="CA17" s="31">
        <v>5.1182421347656E-2</v>
      </c>
      <c r="CB17" s="31">
        <v>5.183786902260748E-2</v>
      </c>
      <c r="CC17" s="31">
        <v>5.2044439529802984E-2</v>
      </c>
      <c r="CD17" s="31">
        <v>5.1881850346001374E-2</v>
      </c>
      <c r="CE17" s="31">
        <v>5.1907201087115551E-2</v>
      </c>
      <c r="CF17" s="31">
        <v>5.2722012626729049E-2</v>
      </c>
      <c r="CG17" s="31">
        <v>5.288318564332696E-2</v>
      </c>
      <c r="CH17" s="31">
        <v>5.3240600392728286E-2</v>
      </c>
      <c r="CI17" s="31">
        <v>5.4387160976187614E-2</v>
      </c>
      <c r="CJ17" s="31">
        <v>5.4068322176611665E-2</v>
      </c>
      <c r="CK17" s="31">
        <v>5.4504498879202994E-2</v>
      </c>
      <c r="CL17" s="31">
        <v>5.6733288114097551E-2</v>
      </c>
      <c r="CM17" s="31">
        <v>5.6831986427557303E-2</v>
      </c>
      <c r="CN17" s="31">
        <v>5.7022516920075601E-2</v>
      </c>
      <c r="CO17" s="31">
        <v>5.615821960262507E-2</v>
      </c>
      <c r="CP17" s="31">
        <v>5.8230244326191255E-2</v>
      </c>
      <c r="CQ17" s="31">
        <v>5.8910686727803599E-2</v>
      </c>
      <c r="CR17" s="31">
        <v>5.8297171551777834E-2</v>
      </c>
      <c r="CS17" s="31">
        <v>5.8864262113932461E-2</v>
      </c>
      <c r="CT17" s="31">
        <v>5.9445328622345535E-2</v>
      </c>
      <c r="CU17" s="31">
        <v>5.8590713188727744E-2</v>
      </c>
      <c r="CV17" s="31">
        <v>5.9149522851029528E-2</v>
      </c>
      <c r="CW17" s="31">
        <v>5.8756373376375758E-2</v>
      </c>
      <c r="CX17" s="31">
        <v>5.8044622689405724E-2</v>
      </c>
      <c r="CY17" s="31">
        <v>6.0204470019169849E-2</v>
      </c>
      <c r="CZ17" s="31">
        <v>6.0237120735171408E-2</v>
      </c>
      <c r="DA17" s="31">
        <v>6.0743399703486606E-2</v>
      </c>
      <c r="DB17" s="31">
        <v>6.0318568185537789E-2</v>
      </c>
      <c r="DC17" s="31">
        <v>6.1253161619116654E-2</v>
      </c>
      <c r="DD17" s="31">
        <v>6.1451827520888853E-2</v>
      </c>
      <c r="DE17" s="31">
        <v>6.0548583817635962E-2</v>
      </c>
      <c r="DF17" s="31">
        <v>6.1755999391876884E-2</v>
      </c>
      <c r="DG17" s="31">
        <v>6.2324939495809639E-2</v>
      </c>
      <c r="DH17" s="31">
        <v>6.2859619122856022E-2</v>
      </c>
      <c r="DI17" s="31">
        <v>6.3069199703446391E-2</v>
      </c>
      <c r="DJ17" s="31">
        <v>6.3350386349591239E-2</v>
      </c>
      <c r="DK17" s="31">
        <v>6.3240781280186578E-2</v>
      </c>
      <c r="DL17" s="31">
        <v>6.2758900601001394E-2</v>
      </c>
      <c r="DM17" s="31">
        <v>6.384397425988593E-2</v>
      </c>
      <c r="DN17" s="86">
        <v>6.3179196425108261E-2</v>
      </c>
      <c r="DO17" s="86">
        <v>6.2987879483895531E-2</v>
      </c>
      <c r="DP17" s="95"/>
      <c r="DQ17" s="83"/>
      <c r="DR17" s="95"/>
      <c r="DS17" s="83"/>
    </row>
    <row r="18" spans="1:123" s="20" customFormat="1" ht="13.5" customHeight="1" x14ac:dyDescent="0.3">
      <c r="B18" s="32"/>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87"/>
      <c r="DO18" s="33"/>
      <c r="DP18" s="95"/>
      <c r="DQ18" s="83"/>
      <c r="DR18" s="95"/>
      <c r="DS18" s="83"/>
    </row>
    <row r="19" spans="1:123"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73">
        <v>9035959</v>
      </c>
      <c r="CL19" s="74">
        <v>9063505</v>
      </c>
      <c r="CM19" s="74">
        <v>9063669</v>
      </c>
      <c r="CN19" s="74">
        <v>9094806</v>
      </c>
      <c r="CO19" s="74">
        <v>9125164</v>
      </c>
      <c r="CP19" s="74">
        <v>9148429</v>
      </c>
      <c r="CQ19" s="74">
        <v>9184744</v>
      </c>
      <c r="CR19" s="74">
        <v>9227764</v>
      </c>
      <c r="CS19" s="74">
        <v>9257133</v>
      </c>
      <c r="CT19" s="74">
        <v>9274531</v>
      </c>
      <c r="CU19" s="77">
        <v>9344982</v>
      </c>
      <c r="CV19" s="77">
        <v>9362347</v>
      </c>
      <c r="CW19" s="77">
        <v>9397195</v>
      </c>
      <c r="CX19" s="77">
        <v>9524535</v>
      </c>
      <c r="CY19" s="77">
        <v>9570279</v>
      </c>
      <c r="CZ19" s="74">
        <v>9646263</v>
      </c>
      <c r="DA19" s="74">
        <v>9730035</v>
      </c>
      <c r="DB19" s="74">
        <v>9672929</v>
      </c>
      <c r="DC19" s="74">
        <v>9735671</v>
      </c>
      <c r="DD19" s="74">
        <v>9795282</v>
      </c>
      <c r="DE19" s="74">
        <v>9861876</v>
      </c>
      <c r="DF19" s="74">
        <v>9960225</v>
      </c>
      <c r="DG19" s="74">
        <v>10061389</v>
      </c>
      <c r="DH19" s="74">
        <v>10239792</v>
      </c>
      <c r="DI19" s="74">
        <v>10284098</v>
      </c>
      <c r="DJ19" s="74">
        <v>10313807</v>
      </c>
      <c r="DK19" s="74">
        <v>10364323</v>
      </c>
      <c r="DL19" s="74">
        <v>10442063</v>
      </c>
      <c r="DM19" s="74">
        <v>10528212</v>
      </c>
      <c r="DN19" s="90">
        <v>10606879</v>
      </c>
      <c r="DO19" s="91">
        <v>10697388</v>
      </c>
      <c r="DP19" s="94">
        <v>8.5330472799773904E-3</v>
      </c>
      <c r="DQ19" s="82">
        <v>7.7737863719071765E-3</v>
      </c>
      <c r="DR19" s="94">
        <v>9.8782816305111432E-2</v>
      </c>
      <c r="DS19" s="82">
        <v>8.078936737251885E-2</v>
      </c>
    </row>
    <row r="20" spans="1:123" s="20" customFormat="1" ht="15" customHeight="1" x14ac:dyDescent="0.3">
      <c r="B20" s="107" t="s">
        <v>2</v>
      </c>
      <c r="C20" s="108"/>
      <c r="D20" s="34">
        <v>3305716</v>
      </c>
      <c r="E20" s="34">
        <v>3315890</v>
      </c>
      <c r="F20" s="34">
        <v>3345183</v>
      </c>
      <c r="G20" s="34">
        <v>3374322</v>
      </c>
      <c r="H20" s="34">
        <v>3401290</v>
      </c>
      <c r="I20" s="34">
        <v>3429229</v>
      </c>
      <c r="J20" s="34">
        <v>3450994</v>
      </c>
      <c r="K20" s="34">
        <v>3480954</v>
      </c>
      <c r="L20" s="34">
        <v>3509331</v>
      </c>
      <c r="M20" s="34">
        <v>3528358</v>
      </c>
      <c r="N20" s="34">
        <v>3559167</v>
      </c>
      <c r="O20" s="34">
        <v>3535014</v>
      </c>
      <c r="P20" s="34">
        <v>3561657</v>
      </c>
      <c r="Q20" s="34">
        <v>4310903</v>
      </c>
      <c r="R20" s="34">
        <v>4325744</v>
      </c>
      <c r="S20" s="34">
        <v>4468133</v>
      </c>
      <c r="T20" s="34">
        <v>4725994</v>
      </c>
      <c r="U20" s="34">
        <v>5015207</v>
      </c>
      <c r="V20" s="34">
        <v>5048856</v>
      </c>
      <c r="W20" s="34">
        <v>5105527</v>
      </c>
      <c r="X20" s="34">
        <v>5157061</v>
      </c>
      <c r="Y20" s="34">
        <v>5228543</v>
      </c>
      <c r="Z20" s="34">
        <v>5215174</v>
      </c>
      <c r="AA20" s="34">
        <v>5239732</v>
      </c>
      <c r="AB20" s="34">
        <v>5287309</v>
      </c>
      <c r="AC20" s="34">
        <v>5139848</v>
      </c>
      <c r="AD20" s="34">
        <v>5175422</v>
      </c>
      <c r="AE20" s="34">
        <v>5489120</v>
      </c>
      <c r="AF20" s="34">
        <v>5733158</v>
      </c>
      <c r="AG20" s="34">
        <v>5814177</v>
      </c>
      <c r="AH20" s="34">
        <v>5872710</v>
      </c>
      <c r="AI20" s="34">
        <v>5812296</v>
      </c>
      <c r="AJ20" s="34">
        <v>5889229</v>
      </c>
      <c r="AK20" s="34">
        <v>5915672</v>
      </c>
      <c r="AL20" s="34">
        <v>5951794</v>
      </c>
      <c r="AM20" s="34">
        <v>6226339</v>
      </c>
      <c r="AN20" s="34">
        <v>6247887</v>
      </c>
      <c r="AO20" s="34">
        <v>6231866</v>
      </c>
      <c r="AP20" s="34">
        <v>5976465</v>
      </c>
      <c r="AQ20" s="34">
        <v>5944074</v>
      </c>
      <c r="AR20" s="34">
        <v>5932402</v>
      </c>
      <c r="AS20" s="34">
        <v>6091674</v>
      </c>
      <c r="AT20" s="34">
        <v>6380502</v>
      </c>
      <c r="AU20" s="34">
        <v>6230945</v>
      </c>
      <c r="AV20" s="34">
        <v>6247583</v>
      </c>
      <c r="AW20" s="34">
        <v>6235884</v>
      </c>
      <c r="AX20" s="34">
        <v>6262763</v>
      </c>
      <c r="AY20" s="34">
        <v>6307824</v>
      </c>
      <c r="AZ20" s="34">
        <v>6319266</v>
      </c>
      <c r="BA20" s="34">
        <v>6320667</v>
      </c>
      <c r="BB20" s="34">
        <v>6584640</v>
      </c>
      <c r="BC20" s="34">
        <v>6610757</v>
      </c>
      <c r="BD20" s="34">
        <v>6604748</v>
      </c>
      <c r="BE20" s="34">
        <v>6820096</v>
      </c>
      <c r="BF20" s="34">
        <v>6842186</v>
      </c>
      <c r="BG20" s="34">
        <v>6893004</v>
      </c>
      <c r="BH20" s="34">
        <v>6936007</v>
      </c>
      <c r="BI20" s="34">
        <v>6979366</v>
      </c>
      <c r="BJ20" s="34">
        <v>6985962</v>
      </c>
      <c r="BK20" s="34">
        <v>7026725</v>
      </c>
      <c r="BL20" s="34">
        <v>7031239</v>
      </c>
      <c r="BM20" s="34">
        <v>7036839</v>
      </c>
      <c r="BN20" s="34">
        <v>7137437</v>
      </c>
      <c r="BO20" s="34">
        <v>7137437</v>
      </c>
      <c r="BP20" s="34">
        <v>7231475</v>
      </c>
      <c r="BQ20" s="34">
        <v>7293908</v>
      </c>
      <c r="BR20" s="34">
        <v>7334137</v>
      </c>
      <c r="BS20" s="34">
        <v>7350788</v>
      </c>
      <c r="BT20" s="34">
        <v>7545154</v>
      </c>
      <c r="BU20" s="34">
        <v>7766438</v>
      </c>
      <c r="BV20" s="34">
        <v>7797742</v>
      </c>
      <c r="BW20" s="34">
        <v>7609711</v>
      </c>
      <c r="BX20" s="34">
        <v>7485161</v>
      </c>
      <c r="BY20" s="34">
        <v>7807989</v>
      </c>
      <c r="BZ20" s="34">
        <v>7877110</v>
      </c>
      <c r="CA20" s="34">
        <v>7927663</v>
      </c>
      <c r="CB20" s="34">
        <v>7933764</v>
      </c>
      <c r="CC20" s="34">
        <v>7985483</v>
      </c>
      <c r="CD20" s="34">
        <v>8046800</v>
      </c>
      <c r="CE20" s="34">
        <v>8103189</v>
      </c>
      <c r="CF20" s="34">
        <v>8136038</v>
      </c>
      <c r="CG20" s="34">
        <v>8550647</v>
      </c>
      <c r="CH20" s="34">
        <v>8742465</v>
      </c>
      <c r="CI20" s="34">
        <v>8800171</v>
      </c>
      <c r="CJ20" s="34">
        <v>8861343</v>
      </c>
      <c r="CK20" s="75">
        <v>8875444</v>
      </c>
      <c r="CL20" s="75">
        <v>8903507</v>
      </c>
      <c r="CM20" s="75">
        <v>8903908</v>
      </c>
      <c r="CN20" s="75">
        <v>8934395</v>
      </c>
      <c r="CO20" s="75">
        <v>8968552</v>
      </c>
      <c r="CP20" s="75">
        <v>8992099</v>
      </c>
      <c r="CQ20" s="75">
        <v>9028107</v>
      </c>
      <c r="CR20" s="75">
        <v>9069409</v>
      </c>
      <c r="CS20" s="75">
        <v>9097182</v>
      </c>
      <c r="CT20" s="75">
        <v>9113761</v>
      </c>
      <c r="CU20" s="75">
        <v>9181544</v>
      </c>
      <c r="CV20" s="77">
        <v>9196404</v>
      </c>
      <c r="CW20" s="77">
        <v>9230537</v>
      </c>
      <c r="CX20" s="77">
        <v>9356551</v>
      </c>
      <c r="CY20" s="77">
        <v>9400458</v>
      </c>
      <c r="CZ20" s="77">
        <v>9473719</v>
      </c>
      <c r="DA20" s="74">
        <v>9556355</v>
      </c>
      <c r="DB20" s="74">
        <v>9500204</v>
      </c>
      <c r="DC20" s="74">
        <v>9564508</v>
      </c>
      <c r="DD20" s="74">
        <v>9621903</v>
      </c>
      <c r="DE20" s="74">
        <v>9686505</v>
      </c>
      <c r="DF20" s="74">
        <v>9782567</v>
      </c>
      <c r="DG20" s="74">
        <v>9880226</v>
      </c>
      <c r="DH20" s="74">
        <v>10056472</v>
      </c>
      <c r="DI20" s="74">
        <v>10098607</v>
      </c>
      <c r="DJ20" s="74">
        <v>10126423</v>
      </c>
      <c r="DK20" s="74">
        <v>10173702</v>
      </c>
      <c r="DL20" s="74">
        <v>10248603</v>
      </c>
      <c r="DM20" s="74">
        <v>10337466</v>
      </c>
      <c r="DN20" s="90">
        <v>10414950</v>
      </c>
      <c r="DO20" s="74">
        <v>10503130</v>
      </c>
      <c r="DP20" s="94">
        <v>8.4666753080908652E-3</v>
      </c>
      <c r="DQ20" s="82">
        <v>7.7498788159822141E-3</v>
      </c>
      <c r="DR20" s="94">
        <v>9.8135941754662115E-2</v>
      </c>
      <c r="DS20" s="82">
        <v>8.0283994849431828E-2</v>
      </c>
    </row>
    <row r="21" spans="1:123" s="20" customFormat="1" ht="15" customHeight="1" x14ac:dyDescent="0.3">
      <c r="B21" s="107" t="s">
        <v>3</v>
      </c>
      <c r="C21" s="108"/>
      <c r="D21" s="34">
        <v>14248</v>
      </c>
      <c r="E21" s="34">
        <v>14621</v>
      </c>
      <c r="F21" s="34">
        <v>14904</v>
      </c>
      <c r="G21" s="34">
        <v>15246</v>
      </c>
      <c r="H21" s="34">
        <v>15649</v>
      </c>
      <c r="I21" s="34">
        <v>15958</v>
      </c>
      <c r="J21" s="34">
        <v>16182</v>
      </c>
      <c r="K21" s="34">
        <v>16681</v>
      </c>
      <c r="L21" s="34">
        <v>16895</v>
      </c>
      <c r="M21" s="34">
        <v>17116</v>
      </c>
      <c r="N21" s="34">
        <v>17427</v>
      </c>
      <c r="O21" s="34">
        <v>17925</v>
      </c>
      <c r="P21" s="34">
        <v>18246</v>
      </c>
      <c r="Q21" s="34">
        <v>91725</v>
      </c>
      <c r="R21" s="34">
        <v>96260</v>
      </c>
      <c r="S21" s="34">
        <v>107969</v>
      </c>
      <c r="T21" s="34">
        <v>159881</v>
      </c>
      <c r="U21" s="34">
        <v>178267</v>
      </c>
      <c r="V21" s="34">
        <v>182048</v>
      </c>
      <c r="W21" s="34">
        <v>185604</v>
      </c>
      <c r="X21" s="34">
        <v>185779</v>
      </c>
      <c r="Y21" s="34">
        <v>188568</v>
      </c>
      <c r="Z21" s="34">
        <v>186956</v>
      </c>
      <c r="AA21" s="34">
        <v>192405</v>
      </c>
      <c r="AB21" s="34">
        <v>160416</v>
      </c>
      <c r="AC21" s="34">
        <v>157586</v>
      </c>
      <c r="AD21" s="34">
        <v>158449</v>
      </c>
      <c r="AE21" s="34">
        <v>168753</v>
      </c>
      <c r="AF21" s="34">
        <v>176687</v>
      </c>
      <c r="AG21" s="34">
        <v>181048</v>
      </c>
      <c r="AH21" s="34">
        <v>180954</v>
      </c>
      <c r="AI21" s="34">
        <v>176533</v>
      </c>
      <c r="AJ21" s="34">
        <v>176140</v>
      </c>
      <c r="AK21" s="34">
        <v>176450</v>
      </c>
      <c r="AL21" s="34">
        <v>176014</v>
      </c>
      <c r="AM21" s="34">
        <v>226584</v>
      </c>
      <c r="AN21" s="34">
        <v>225935</v>
      </c>
      <c r="AO21" s="34">
        <v>228326</v>
      </c>
      <c r="AP21" s="34">
        <v>223154</v>
      </c>
      <c r="AQ21" s="34">
        <v>223211</v>
      </c>
      <c r="AR21" s="34">
        <v>215917</v>
      </c>
      <c r="AS21" s="34">
        <v>224405</v>
      </c>
      <c r="AT21" s="34">
        <v>228904</v>
      </c>
      <c r="AU21" s="34">
        <v>229155</v>
      </c>
      <c r="AV21" s="34">
        <v>229875</v>
      </c>
      <c r="AW21" s="34">
        <v>228551</v>
      </c>
      <c r="AX21" s="34">
        <v>236258</v>
      </c>
      <c r="AY21" s="34">
        <v>241871</v>
      </c>
      <c r="AZ21" s="34">
        <v>242769</v>
      </c>
      <c r="BA21" s="34">
        <v>242873</v>
      </c>
      <c r="BB21" s="34">
        <v>109937</v>
      </c>
      <c r="BC21" s="34">
        <v>108898</v>
      </c>
      <c r="BD21" s="34">
        <v>109170</v>
      </c>
      <c r="BE21" s="34">
        <v>114934</v>
      </c>
      <c r="BF21" s="34">
        <v>115457</v>
      </c>
      <c r="BG21" s="34">
        <v>115353</v>
      </c>
      <c r="BH21" s="34">
        <v>116199</v>
      </c>
      <c r="BI21" s="34">
        <v>117728</v>
      </c>
      <c r="BJ21" s="34">
        <v>118803</v>
      </c>
      <c r="BK21" s="34">
        <v>121352</v>
      </c>
      <c r="BL21" s="34">
        <v>121438</v>
      </c>
      <c r="BM21" s="34">
        <v>123209</v>
      </c>
      <c r="BN21" s="34">
        <v>126292</v>
      </c>
      <c r="BO21" s="34">
        <v>126292</v>
      </c>
      <c r="BP21" s="34">
        <v>123913</v>
      </c>
      <c r="BQ21" s="34">
        <v>125107</v>
      </c>
      <c r="BR21" s="34">
        <v>125683</v>
      </c>
      <c r="BS21" s="34">
        <v>125793</v>
      </c>
      <c r="BT21" s="34">
        <v>135718</v>
      </c>
      <c r="BU21" s="34">
        <v>148244</v>
      </c>
      <c r="BV21" s="34">
        <v>149558</v>
      </c>
      <c r="BW21" s="34">
        <v>142882</v>
      </c>
      <c r="BX21" s="34">
        <v>127702</v>
      </c>
      <c r="BY21" s="34">
        <v>149309</v>
      </c>
      <c r="BZ21" s="34">
        <v>152593</v>
      </c>
      <c r="CA21" s="34">
        <v>154013</v>
      </c>
      <c r="CB21" s="34">
        <v>154508</v>
      </c>
      <c r="CC21" s="34">
        <v>155869</v>
      </c>
      <c r="CD21" s="34">
        <v>155108</v>
      </c>
      <c r="CE21" s="34">
        <v>156592</v>
      </c>
      <c r="CF21" s="34">
        <v>157186</v>
      </c>
      <c r="CG21" s="34">
        <v>156717</v>
      </c>
      <c r="CH21" s="34">
        <v>158070</v>
      </c>
      <c r="CI21" s="34">
        <v>158721</v>
      </c>
      <c r="CJ21" s="34">
        <v>159705</v>
      </c>
      <c r="CK21" s="75">
        <v>160515</v>
      </c>
      <c r="CL21" s="76">
        <v>159998</v>
      </c>
      <c r="CM21" s="76">
        <v>159761</v>
      </c>
      <c r="CN21" s="76">
        <v>160411</v>
      </c>
      <c r="CO21" s="76">
        <v>156613</v>
      </c>
      <c r="CP21" s="76">
        <v>156330</v>
      </c>
      <c r="CQ21" s="76">
        <v>156637</v>
      </c>
      <c r="CR21" s="76">
        <v>158355</v>
      </c>
      <c r="CS21" s="76">
        <v>159951</v>
      </c>
      <c r="CT21" s="76">
        <v>160770</v>
      </c>
      <c r="CU21" s="76">
        <v>163438</v>
      </c>
      <c r="CV21" s="77">
        <v>165943</v>
      </c>
      <c r="CW21" s="77">
        <v>166658</v>
      </c>
      <c r="CX21" s="77">
        <v>167984</v>
      </c>
      <c r="CY21" s="77">
        <v>169821</v>
      </c>
      <c r="CZ21" s="77">
        <v>172544</v>
      </c>
      <c r="DA21" s="74">
        <v>170344</v>
      </c>
      <c r="DB21" s="74">
        <v>169389</v>
      </c>
      <c r="DC21" s="74">
        <v>171163</v>
      </c>
      <c r="DD21" s="74">
        <v>173379</v>
      </c>
      <c r="DE21" s="74">
        <v>175371</v>
      </c>
      <c r="DF21" s="74">
        <v>177510</v>
      </c>
      <c r="DG21" s="74">
        <v>181163</v>
      </c>
      <c r="DH21" s="74">
        <v>183320</v>
      </c>
      <c r="DI21" s="74">
        <v>185491</v>
      </c>
      <c r="DJ21" s="74">
        <v>187384</v>
      </c>
      <c r="DK21" s="74">
        <v>190621</v>
      </c>
      <c r="DL21" s="74">
        <v>193460</v>
      </c>
      <c r="DM21" s="74">
        <v>189893</v>
      </c>
      <c r="DN21" s="90">
        <v>191929</v>
      </c>
      <c r="DO21" s="74">
        <v>194258</v>
      </c>
      <c r="DP21" s="94">
        <v>1.2134695642659565E-2</v>
      </c>
      <c r="DQ21" s="82">
        <v>1.0593357038053419E-2</v>
      </c>
      <c r="DR21" s="94">
        <v>0.13492986217815761</v>
      </c>
      <c r="DS21" s="82">
        <v>0.11194337329057924</v>
      </c>
    </row>
    <row r="22" spans="1:123"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60"/>
      <c r="DQ22" s="60"/>
    </row>
    <row r="23" spans="1:123" s="49" customFormat="1" ht="15" customHeight="1" x14ac:dyDescent="0.3">
      <c r="A23" s="11"/>
      <c r="B23" s="4" t="s">
        <v>7</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row>
    <row r="24" spans="1:123" s="49" customFormat="1" ht="15" customHeight="1" x14ac:dyDescent="0.3">
      <c r="A24" s="11"/>
      <c r="B24" s="5" t="s">
        <v>48</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row>
    <row r="25" spans="1:123" s="38" customFormat="1" ht="15" customHeight="1" x14ac:dyDescent="0.3">
      <c r="A25" s="11"/>
      <c r="B25" s="7" t="s">
        <v>43</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40"/>
      <c r="DQ25" s="40"/>
    </row>
    <row r="26" spans="1:123" s="38" customFormat="1" ht="15" customHeight="1" x14ac:dyDescent="0.3">
      <c r="A26" s="11"/>
      <c r="B26" s="8" t="s">
        <v>44</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40"/>
      <c r="DQ26" s="40"/>
    </row>
    <row r="27" spans="1:123" s="38" customFormat="1" ht="15" customHeight="1" x14ac:dyDescent="0.3">
      <c r="A27" s="1"/>
      <c r="B27" s="8" t="s">
        <v>35</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39"/>
      <c r="DQ27" s="39"/>
    </row>
    <row r="28" spans="1:123" s="38" customFormat="1" ht="15" customHeight="1" x14ac:dyDescent="0.3">
      <c r="A28" s="1"/>
      <c r="B28" s="8" t="s">
        <v>45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row>
    <row r="29" spans="1:123" s="38" customFormat="1" ht="15" customHeight="1" x14ac:dyDescent="0.3">
      <c r="A29" s="1"/>
      <c r="B29" s="8" t="s">
        <v>46</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row>
    <row r="30" spans="1:123" s="38" customFormat="1" ht="15" customHeight="1" x14ac:dyDescent="0.3">
      <c r="A30" s="1"/>
      <c r="B30" s="5" t="s">
        <v>56</v>
      </c>
      <c r="D30" s="54"/>
      <c r="E30" s="54"/>
      <c r="F30" s="54"/>
      <c r="G30" s="54"/>
      <c r="H30" s="54"/>
      <c r="I30" s="54"/>
      <c r="J30" s="54"/>
      <c r="K30" s="54"/>
      <c r="L30" s="54"/>
      <c r="M30" s="54"/>
      <c r="N30" s="54"/>
      <c r="O30" s="54"/>
    </row>
    <row r="31" spans="1:123" s="38" customFormat="1" ht="15" customHeight="1" x14ac:dyDescent="0.3">
      <c r="A31" s="1"/>
      <c r="B31" s="8" t="s">
        <v>50</v>
      </c>
      <c r="D31" s="54"/>
      <c r="E31" s="54"/>
      <c r="F31" s="54"/>
      <c r="G31" s="54"/>
      <c r="H31" s="54"/>
      <c r="I31" s="54"/>
      <c r="J31" s="54"/>
      <c r="K31" s="54"/>
      <c r="L31" s="54"/>
      <c r="M31" s="54"/>
      <c r="N31" s="54"/>
      <c r="O31" s="54"/>
    </row>
    <row r="32" spans="1:123" s="38" customFormat="1" ht="15" customHeight="1" x14ac:dyDescent="0.3">
      <c r="A32" s="1"/>
      <c r="B32" s="8" t="s">
        <v>52</v>
      </c>
      <c r="D32" s="54"/>
      <c r="E32" s="54"/>
      <c r="F32" s="54"/>
      <c r="G32" s="54"/>
      <c r="H32" s="54"/>
      <c r="I32" s="54"/>
      <c r="J32" s="54"/>
      <c r="K32" s="54"/>
      <c r="L32" s="54"/>
      <c r="M32" s="54"/>
      <c r="N32" s="54"/>
      <c r="O32" s="54"/>
    </row>
    <row r="33" spans="1:123" s="38" customFormat="1" ht="30.6" customHeight="1" x14ac:dyDescent="0.3">
      <c r="A33" s="1"/>
      <c r="B33" s="100" t="s">
        <v>57</v>
      </c>
      <c r="C33" s="100"/>
      <c r="D33" s="100"/>
      <c r="E33" s="100"/>
      <c r="F33" s="100"/>
      <c r="G33" s="100"/>
      <c r="H33" s="100"/>
      <c r="I33" s="100"/>
      <c r="J33" s="100"/>
      <c r="K33" s="100"/>
      <c r="L33" s="100"/>
      <c r="M33" s="100"/>
      <c r="N33" s="100"/>
      <c r="O33" s="100"/>
      <c r="P33" s="100"/>
      <c r="Q33" s="100"/>
    </row>
    <row r="34" spans="1:123" s="63" customFormat="1" ht="56.4" customHeight="1" x14ac:dyDescent="0.3">
      <c r="A34" s="64"/>
      <c r="B34" s="101" t="s">
        <v>76</v>
      </c>
      <c r="C34" s="101"/>
      <c r="D34" s="101"/>
      <c r="E34" s="101"/>
      <c r="F34" s="101"/>
      <c r="G34" s="101"/>
      <c r="H34" s="101"/>
      <c r="I34" s="101"/>
      <c r="J34" s="101"/>
      <c r="K34" s="101"/>
      <c r="L34" s="101"/>
      <c r="M34" s="101"/>
      <c r="N34" s="101"/>
      <c r="O34" s="101"/>
      <c r="P34" s="101"/>
      <c r="Q34" s="101"/>
    </row>
    <row r="35" spans="1:123" s="38" customFormat="1" ht="15" customHeight="1" x14ac:dyDescent="0.3">
      <c r="A35" s="1"/>
      <c r="B35" s="5" t="s">
        <v>39</v>
      </c>
      <c r="C35" s="78"/>
      <c r="D35" s="54"/>
      <c r="E35" s="54"/>
      <c r="F35" s="54"/>
      <c r="G35" s="54"/>
      <c r="H35" s="54"/>
      <c r="I35" s="54"/>
      <c r="J35" s="54"/>
      <c r="K35" s="54"/>
      <c r="L35" s="54"/>
      <c r="M35" s="54"/>
      <c r="N35" s="54"/>
      <c r="O35" s="54"/>
      <c r="DS35" s="49"/>
    </row>
    <row r="36" spans="1:123" s="38" customFormat="1" ht="15" customHeight="1" x14ac:dyDescent="0.3">
      <c r="A36" s="1"/>
      <c r="B36" s="51"/>
      <c r="C36" s="79"/>
      <c r="D36" s="54"/>
      <c r="E36" s="54"/>
      <c r="F36" s="54"/>
      <c r="G36" s="54"/>
      <c r="H36" s="54"/>
      <c r="I36" s="54"/>
      <c r="J36" s="54"/>
      <c r="K36" s="54"/>
      <c r="L36" s="54"/>
      <c r="M36" s="54"/>
      <c r="N36" s="54"/>
      <c r="O36" s="54"/>
    </row>
    <row r="37" spans="1:123" s="52" customFormat="1" x14ac:dyDescent="0.3"/>
    <row r="38" spans="1:123" s="52" customFormat="1" x14ac:dyDescent="0.3"/>
    <row r="39" spans="1:123" s="52" customFormat="1" x14ac:dyDescent="0.3"/>
    <row r="40" spans="1:123" s="52" customFormat="1" x14ac:dyDescent="0.3"/>
    <row r="41" spans="1:123" s="52" customFormat="1" x14ac:dyDescent="0.3"/>
    <row r="42" spans="1:123" s="52" customFormat="1" x14ac:dyDescent="0.3"/>
    <row r="43" spans="1:123" s="52" customFormat="1" x14ac:dyDescent="0.3"/>
    <row r="44" spans="1:123" s="52" customFormat="1" x14ac:dyDescent="0.3"/>
    <row r="45" spans="1:123" s="52" customFormat="1" x14ac:dyDescent="0.3"/>
    <row r="46" spans="1:123" s="52" customFormat="1" x14ac:dyDescent="0.3">
      <c r="D46" s="53"/>
      <c r="E46" s="53"/>
      <c r="F46" s="53"/>
      <c r="G46" s="53"/>
      <c r="H46" s="53"/>
      <c r="I46" s="53"/>
      <c r="J46" s="53"/>
      <c r="K46" s="53"/>
      <c r="L46" s="53"/>
      <c r="M46" s="53"/>
      <c r="N46" s="53"/>
      <c r="O46" s="53"/>
      <c r="DR46" s="53"/>
      <c r="DS46" s="53"/>
    </row>
    <row r="47" spans="1:123" s="52" customFormat="1" x14ac:dyDescent="0.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DP47" s="53"/>
      <c r="DQ47" s="53"/>
      <c r="DR47" s="53"/>
      <c r="DS47" s="53"/>
    </row>
    <row r="48" spans="1:123" s="52" customFormat="1" x14ac:dyDescent="0.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row>
    <row r="49" spans="4:123" s="52" customFormat="1" x14ac:dyDescent="0.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row>
    <row r="50" spans="4:123" s="52" customFormat="1" x14ac:dyDescent="0.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row>
    <row r="51" spans="4:123" s="52" customFormat="1" x14ac:dyDescent="0.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row>
    <row r="52" spans="4:123" s="52" customFormat="1" x14ac:dyDescent="0.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row>
    <row r="53" spans="4:123" s="52" customFormat="1" x14ac:dyDescent="0.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row>
    <row r="54" spans="4:123" s="52" customFormat="1" x14ac:dyDescent="0.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row>
    <row r="55" spans="4:123" s="52" customFormat="1" x14ac:dyDescent="0.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row>
    <row r="56" spans="4:123" s="52" customFormat="1" x14ac:dyDescent="0.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row>
    <row r="57" spans="4:123" s="52" customFormat="1" x14ac:dyDescent="0.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row>
    <row r="58" spans="4:123" s="52" customFormat="1" x14ac:dyDescent="0.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row>
    <row r="59" spans="4:123" s="52" customFormat="1" x14ac:dyDescent="0.3"/>
    <row r="60" spans="4:123" s="52" customFormat="1" x14ac:dyDescent="0.3"/>
    <row r="61" spans="4:123" s="52" customFormat="1" x14ac:dyDescent="0.3"/>
    <row r="62" spans="4:123" s="52" customFormat="1" x14ac:dyDescent="0.3"/>
    <row r="63" spans="4:123" s="52" customFormat="1" x14ac:dyDescent="0.3"/>
    <row r="64" spans="4:123" s="52" customFormat="1" x14ac:dyDescent="0.3"/>
    <row r="65" s="52" customFormat="1" x14ac:dyDescent="0.3"/>
    <row r="66" s="52" customFormat="1" x14ac:dyDescent="0.3"/>
    <row r="67" s="52" customFormat="1" x14ac:dyDescent="0.3"/>
    <row r="68" s="52" customFormat="1" x14ac:dyDescent="0.3"/>
    <row r="69" s="52" customFormat="1" x14ac:dyDescent="0.3"/>
    <row r="70" s="52" customFormat="1" x14ac:dyDescent="0.3"/>
    <row r="71" s="52" customFormat="1" x14ac:dyDescent="0.3"/>
    <row r="72" s="52" customFormat="1" x14ac:dyDescent="0.3"/>
    <row r="73" s="52" customFormat="1" x14ac:dyDescent="0.3"/>
    <row r="74" s="52" customFormat="1" x14ac:dyDescent="0.3"/>
    <row r="75" s="52" customFormat="1" x14ac:dyDescent="0.3"/>
    <row r="76" s="52" customFormat="1" x14ac:dyDescent="0.3"/>
    <row r="77" s="52" customFormat="1" x14ac:dyDescent="0.3"/>
    <row r="78" s="52" customFormat="1" x14ac:dyDescent="0.3"/>
    <row r="79" s="52" customFormat="1" x14ac:dyDescent="0.3"/>
    <row r="80" s="52" customFormat="1" x14ac:dyDescent="0.3"/>
    <row r="81" s="52" customFormat="1" x14ac:dyDescent="0.3"/>
    <row r="82" s="52" customFormat="1" x14ac:dyDescent="0.3"/>
    <row r="83" s="52" customFormat="1" x14ac:dyDescent="0.3"/>
    <row r="84" s="52" customFormat="1" x14ac:dyDescent="0.3"/>
    <row r="85" s="52" customFormat="1" x14ac:dyDescent="0.3"/>
    <row r="86" s="52" customFormat="1" x14ac:dyDescent="0.3"/>
    <row r="87" s="52" customFormat="1" x14ac:dyDescent="0.3"/>
    <row r="88" s="52" customFormat="1" x14ac:dyDescent="0.3"/>
    <row r="89" s="52" customFormat="1" x14ac:dyDescent="0.3"/>
    <row r="90" s="41" customFormat="1" x14ac:dyDescent="0.3"/>
    <row r="91" s="41" customFormat="1" x14ac:dyDescent="0.3"/>
    <row r="92" s="41" customFormat="1" x14ac:dyDescent="0.3"/>
    <row r="93" s="41" customFormat="1" x14ac:dyDescent="0.3"/>
    <row r="94" s="41" customFormat="1" x14ac:dyDescent="0.3"/>
    <row r="95" s="41" customFormat="1" x14ac:dyDescent="0.3"/>
    <row r="96" s="41" customFormat="1" x14ac:dyDescent="0.3"/>
    <row r="97" s="41" customFormat="1" x14ac:dyDescent="0.3"/>
  </sheetData>
  <mergeCells count="23">
    <mergeCell ref="D3:K3"/>
    <mergeCell ref="D4:K4"/>
    <mergeCell ref="D5:K5"/>
    <mergeCell ref="D6:K6"/>
    <mergeCell ref="D7:E7"/>
    <mergeCell ref="DS9:DS10"/>
    <mergeCell ref="B20:C20"/>
    <mergeCell ref="B21:C21"/>
    <mergeCell ref="P9:AA9"/>
    <mergeCell ref="AB9:AM9"/>
    <mergeCell ref="AN9:AY9"/>
    <mergeCell ref="AZ9:BK9"/>
    <mergeCell ref="BL9:BW9"/>
    <mergeCell ref="D9:O9"/>
    <mergeCell ref="BX9:CI9"/>
    <mergeCell ref="CJ9:CU9"/>
    <mergeCell ref="DH9:DO9"/>
    <mergeCell ref="B33:Q33"/>
    <mergeCell ref="B34:Q34"/>
    <mergeCell ref="DP9:DP10"/>
    <mergeCell ref="DQ9:DQ10"/>
    <mergeCell ref="DR9:DR10"/>
    <mergeCell ref="CV9:DG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57"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DQ11 DS11</xm:sqref>
        </x14:conditionalFormatting>
        <x14:conditionalFormatting xmlns:xm="http://schemas.microsoft.com/office/excel/2006/main">
          <x14:cfRule type="iconSet" priority="56"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DQ20:DQ21 DQ13:DQ16</xm:sqref>
        </x14:conditionalFormatting>
        <x14:conditionalFormatting xmlns:xm="http://schemas.microsoft.com/office/excel/2006/main">
          <x14:cfRule type="iconSet" priority="55"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DS20:DS21 DS13:DS18</xm:sqref>
        </x14:conditionalFormatting>
        <x14:conditionalFormatting xmlns:xm="http://schemas.microsoft.com/office/excel/2006/main">
          <x14:cfRule type="iconSet" priority="52"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DQ19</xm:sqref>
        </x14:conditionalFormatting>
        <x14:conditionalFormatting xmlns:xm="http://schemas.microsoft.com/office/excel/2006/main">
          <x14:cfRule type="iconSet" priority="51"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DS19</xm:sqref>
        </x14:conditionalFormatting>
        <x14:conditionalFormatting xmlns:xm="http://schemas.microsoft.com/office/excel/2006/main">
          <x14:cfRule type="iconSet" priority="45"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DQ17:DQ18</xm:sqref>
        </x14:conditionalFormatting>
        <x14:conditionalFormatting xmlns:xm="http://schemas.microsoft.com/office/excel/2006/main">
          <x14:cfRule type="iconSet" priority="8" id="{2ADF34E1-1141-4D12-AFF7-033F359DFB4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DP11</xm:sqref>
        </x14:conditionalFormatting>
        <x14:conditionalFormatting xmlns:xm="http://schemas.microsoft.com/office/excel/2006/main">
          <x14:cfRule type="iconSet" priority="7" id="{8CC654F3-CEB9-42F7-BE60-6DAFAA60617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DP20:DP21 DP13:DP16</xm:sqref>
        </x14:conditionalFormatting>
        <x14:conditionalFormatting xmlns:xm="http://schemas.microsoft.com/office/excel/2006/main">
          <x14:cfRule type="iconSet" priority="6" id="{9FCC2669-F4BE-452C-9A46-0F0115D8B24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DP19</xm:sqref>
        </x14:conditionalFormatting>
        <x14:conditionalFormatting xmlns:xm="http://schemas.microsoft.com/office/excel/2006/main">
          <x14:cfRule type="iconSet" priority="5" id="{40479E4A-C60A-411C-BBCF-09DB7388571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DP17:DP18</xm:sqref>
        </x14:conditionalFormatting>
        <x14:conditionalFormatting xmlns:xm="http://schemas.microsoft.com/office/excel/2006/main">
          <x14:cfRule type="iconSet" priority="4" id="{3504E598-5935-49A3-A5F2-DFA0D85E6E4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DR11</xm:sqref>
        </x14:conditionalFormatting>
        <x14:conditionalFormatting xmlns:xm="http://schemas.microsoft.com/office/excel/2006/main">
          <x14:cfRule type="iconSet" priority="3" id="{FDF55AAD-A8BF-4D3D-930D-14308C22433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DR20:DR21 DR13:DR16</xm:sqref>
        </x14:conditionalFormatting>
        <x14:conditionalFormatting xmlns:xm="http://schemas.microsoft.com/office/excel/2006/main">
          <x14:cfRule type="iconSet" priority="2" id="{6433001D-0C25-4CB8-B0CD-C0E0878BEDE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DR19</xm:sqref>
        </x14:conditionalFormatting>
        <x14:conditionalFormatting xmlns:xm="http://schemas.microsoft.com/office/excel/2006/main">
          <x14:cfRule type="iconSet" priority="1" id="{2C2AC235-380A-4FDB-8642-7DE170F2CF9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DR17:DR18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ÍNDICE</vt:lpstr>
      <vt:lpstr>Privado</vt:lpstr>
      <vt:lpstr>Popular y Solidario</vt:lpstr>
      <vt:lpstr>'Popular y Solidario'!Área_de_impresión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2015-10-05T16:23:46Z</cp:lastPrinted>
  <dcterms:created xsi:type="dcterms:W3CDTF">2012-07-11T15:55:46Z</dcterms:created>
  <dcterms:modified xsi:type="dcterms:W3CDTF">2022-10-03T16:37:47Z</dcterms:modified>
</cp:coreProperties>
</file>