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RIESGOS 2020\PEMS\DICIEMBRE\"/>
    </mc:Choice>
  </mc:AlternateContent>
  <bookViews>
    <workbookView xWindow="0" yWindow="0" windowWidth="23040" windowHeight="8808"/>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52511"/>
</workbook>
</file>

<file path=xl/calcChain.xml><?xml version="1.0" encoding="utf-8"?>
<calcChain xmlns="http://schemas.openxmlformats.org/spreadsheetml/2006/main">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c r="AY11" i="5"/>
  <c r="AY16" i="5" s="1"/>
  <c r="AX11" i="5"/>
  <c r="AX16" i="5"/>
  <c r="AW11" i="5"/>
  <c r="AW16" i="5" s="1"/>
  <c r="AJ25" i="6"/>
  <c r="AJ16" i="6"/>
  <c r="AV11" i="5"/>
  <c r="AV16" i="5"/>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6" i="5"/>
  <c r="AN46" i="5"/>
  <c r="AM46" i="5"/>
  <c r="AL46" i="5"/>
  <c r="AK46" i="5"/>
  <c r="AJ46" i="5"/>
  <c r="AI46" i="5"/>
  <c r="AH46" i="5"/>
  <c r="AG46" i="5"/>
  <c r="AF46" i="5"/>
  <c r="AE46" i="5"/>
  <c r="AD46" i="5"/>
  <c r="AC46" i="5"/>
  <c r="AB46" i="5"/>
  <c r="AO45" i="5"/>
  <c r="AN45" i="5"/>
  <c r="AM45" i="5"/>
  <c r="AL45" i="5"/>
  <c r="AK45" i="5"/>
  <c r="AJ45" i="5"/>
  <c r="AI45" i="5"/>
  <c r="AH45" i="5"/>
  <c r="AG45" i="5"/>
  <c r="AF45" i="5"/>
  <c r="AE45" i="5"/>
  <c r="AD45" i="5"/>
  <c r="AC45" i="5"/>
  <c r="AB45" i="5"/>
  <c r="AO44" i="5"/>
  <c r="AN44" i="5"/>
  <c r="AM44" i="5"/>
  <c r="AL44" i="5"/>
  <c r="AK44" i="5"/>
  <c r="AJ44" i="5"/>
  <c r="AI44" i="5"/>
  <c r="AH44" i="5"/>
  <c r="AG44" i="5"/>
  <c r="AF44" i="5"/>
  <c r="AE44" i="5"/>
  <c r="AD44" i="5"/>
  <c r="AC44" i="5"/>
  <c r="AB44" i="5"/>
  <c r="AO39" i="5"/>
  <c r="AN39" i="5"/>
  <c r="AM39" i="5"/>
  <c r="AL39" i="5"/>
  <c r="AK39" i="5"/>
  <c r="AJ39" i="5"/>
  <c r="AI39" i="5"/>
  <c r="AH39" i="5"/>
  <c r="AG39" i="5"/>
  <c r="AF39" i="5"/>
  <c r="AE39" i="5"/>
  <c r="AD39" i="5"/>
  <c r="AC39" i="5"/>
  <c r="AB39" i="5"/>
  <c r="X39" i="5"/>
  <c r="Q39" i="5"/>
  <c r="AA46" i="5"/>
  <c r="Z46" i="5"/>
  <c r="Y46" i="5"/>
  <c r="X46" i="5"/>
  <c r="W46" i="5"/>
  <c r="V46" i="5"/>
  <c r="U46" i="5"/>
  <c r="T46" i="5"/>
  <c r="S46" i="5"/>
  <c r="R46" i="5"/>
  <c r="Q46" i="5"/>
  <c r="P46" i="5"/>
  <c r="O46" i="5"/>
  <c r="N46" i="5"/>
  <c r="M46" i="5"/>
  <c r="L46" i="5"/>
  <c r="K46" i="5"/>
  <c r="J46" i="5"/>
  <c r="I46" i="5"/>
  <c r="H46" i="5"/>
  <c r="G46" i="5"/>
  <c r="F46" i="5"/>
  <c r="E46" i="5"/>
  <c r="D46" i="5"/>
  <c r="AA45" i="5"/>
  <c r="Z45" i="5"/>
  <c r="Y45" i="5"/>
  <c r="X45" i="5"/>
  <c r="W45" i="5"/>
  <c r="V45" i="5"/>
  <c r="U45" i="5"/>
  <c r="T45" i="5"/>
  <c r="S45" i="5"/>
  <c r="R45" i="5"/>
  <c r="Q45" i="5"/>
  <c r="P45" i="5"/>
  <c r="O45" i="5"/>
  <c r="N45" i="5"/>
  <c r="M45" i="5"/>
  <c r="L45" i="5"/>
  <c r="K45" i="5"/>
  <c r="J45" i="5"/>
  <c r="I45" i="5"/>
  <c r="H45" i="5"/>
  <c r="G45" i="5"/>
  <c r="F45" i="5"/>
  <c r="E45" i="5"/>
  <c r="D45" i="5"/>
  <c r="AA44" i="5"/>
  <c r="Z44" i="5"/>
  <c r="Y44" i="5"/>
  <c r="X44" i="5"/>
  <c r="W44" i="5"/>
  <c r="V44" i="5"/>
  <c r="U44" i="5"/>
  <c r="T44" i="5"/>
  <c r="S44" i="5"/>
  <c r="R44" i="5"/>
  <c r="Q44" i="5"/>
  <c r="P44" i="5"/>
  <c r="O44" i="5"/>
  <c r="N44" i="5"/>
  <c r="M44" i="5"/>
  <c r="L44" i="5"/>
  <c r="K44" i="5"/>
  <c r="J44" i="5"/>
  <c r="I44" i="5"/>
  <c r="H44" i="5"/>
  <c r="G44" i="5"/>
  <c r="F44" i="5"/>
  <c r="E44" i="5"/>
  <c r="D44"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<sst xmlns="http://schemas.openxmlformats.org/spreadsheetml/2006/main" count="305" uniqueCount="120">
  <si>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</si>
  <si>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</si>
  <si>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</si>
  <si>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</si>
  <si>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</si>
  <si>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</si>
  <si>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</si>
  <si>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</si>
  <si>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</si>
  <si>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</si>
  <si>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</si>
  <si>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</si>
  <si>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</si>
  <si>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</si>
  <si>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</si>
  <si>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</si>
  <si>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</si>
  <si>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</si>
  <si>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</si>
  <si>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</si>
  <si>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ESTADO DE SITUACIÓN CONSOLIDADO DEL FONDO DE SEGURO DE DEPÓSITOS DEL SISTEMA PRIVADO</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</si>
  <si>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</si>
  <si>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</si>
  <si>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</si>
  <si>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</si>
  <si>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</si>
  <si>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</si>
  <si>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</si>
  <si>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</si>
  <si>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</si>
  <si>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</si>
  <si>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</si>
  <si>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</si>
  <si>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</si>
  <si>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</si>
  <si>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</si>
  <si>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</si>
  <si>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</si>
  <si>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</si>
  <si>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</si>
  <si>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</si>
  <si>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</si>
  <si>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</si>
  <si>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</si>
  <si>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</si>
  <si>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</si>
  <si>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</si>
  <si>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</si>
  <si>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</si>
  <si>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</si>
  <si>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</si>
  <si>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</si>
  <si>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</si>
  <si>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</si>
  <si>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r>
      <rPr>
        <b/>
        <sz val="10"/>
        <color theme="1"/>
        <rFont val="Calibri"/>
        <family val="2"/>
        <scheme val="minor"/>
      </rPr>
      <t>Fuente:</t>
    </r>
    <r>
      <rPr>
        <sz val="10"/>
        <color theme="1"/>
        <rFont val="Calibri"/>
        <family val="2"/>
        <scheme val="minor"/>
      </rPr>
      <t xml:space="preserve"> COSEDE</t>
    </r>
  </si>
  <si>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</si>
  <si>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</si>
  <si>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</si>
  <si>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</si>
  <si>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</si>
  <si>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</si>
  <si>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</si>
  <si>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</si>
  <si>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</si>
  <si>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</si>
  <si>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</si>
  <si>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</si>
  <si>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</si>
  <si>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</si>
  <si>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</si>
  <si>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</si>
  <si>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</si>
  <si>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</si>
  <si>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</si>
  <si>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</si>
  <si>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</si>
  <si>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</si>
  <si>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</si>
  <si>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</si>
  <si>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</si>
  <si>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</si>
  <si>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</si>
  <si>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</si>
  <si>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</si>
  <si>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</si>
  <si>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</si>
  <si>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</si>
  <si>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</si>
  <si>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</si>
  <si>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</si>
  <si>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</si>
  <si>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</si>
  <si>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</si>
  <si>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</si>
  <si>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</si>
  <si>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</si>
  <si>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</si>
  <si>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</si>
  <si>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</si>
  <si>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</si>
  <si>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</si>
  <si>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</si>
  <si>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</si>
  <si>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</si>
  <si>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</si>
  <si>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</si>
  <si>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</si>
  <si>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</si>
  <si>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</si>
  <si>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</si>
  <si>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</si>
  <si>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</si>
  <si>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</si>
  <si>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</si>
  <si>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</si>
  <si>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</si>
  <si>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</si>
  <si>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</si>
  <si>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Al 31 de diciembre de 2021</t>
  </si>
  <si>
    <r>
      <t xml:space="preserve">PUBLICACIÓN ESTADÍSTICA MENSUAL 
</t>
    </r>
    <r>
      <rPr>
        <b/>
        <sz val="11"/>
        <color theme="0" tint="-0.499984740745262"/>
        <rFont val="Garamond"/>
        <family val="1"/>
      </rPr>
      <t>(datos al 31 de diciembre de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</si>
</sst>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7"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0"/>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109">
    <xf numFmtId="0" fontId="0" fillId="0" borderId="0" xfId="0"/>
    <xf numFmtId="0" fontId="0" fillId="0" borderId="0" xfId="0" applyBorder="1"/>
    <xf numFmtId="0" fontId="4" fillId="0" borderId="0" xfId="0" applyFont="1" applyAlignment="1">
      <alignment horizontal="center" vertical="center"/>
    </xf>
    <xf numFmtId="0" fontId="2" fillId="0" borderId="0" xfId="0" applyFont="1" applyAlignment="1">
      <alignment horizontal="center"/>
    </xf>
    <xf numFmtId="0" fontId="0" fillId="2" borderId="0" xfId="0" applyFill="1" applyBorder="1"/>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applyAlignment="1"/>
    <xf numFmtId="0" fontId="0" fillId="0" borderId="0" xfId="0" applyFont="1" applyBorder="1" applyAlignment="1">
      <alignment horizontal="center" vertical="center"/>
    </xf>
    <xf numFmtId="0" fontId="0" fillId="2" borderId="0" xfId="0" quotePrefix="1" applyFill="1" applyBorder="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3" fillId="0" borderId="0" xfId="0" applyFont="1" applyAlignment="1">
      <alignment horizontal="center" vertical="center"/>
    </xf>
    <xf numFmtId="0" fontId="0" fillId="0" borderId="0" xfId="0" applyFont="1" applyBorder="1" applyAlignment="1">
      <alignment horizontal="center" vertical="center"/>
    </xf>
    <xf numFmtId="0" fontId="0" fillId="2" borderId="0" xfId="0" applyFont="1" applyFill="1" applyAlignment="1">
      <alignment horizontal="right"/>
    </xf>
    <xf numFmtId="0" fontId="0" fillId="2" borderId="0" xfId="0" applyFont="1" applyFill="1"/>
    <xf numFmtId="0" fontId="0" fillId="2" borderId="0" xfId="0" applyFont="1" applyFill="1" applyBorder="1" applyAlignment="1">
      <alignment horizontal="left"/>
    </xf>
    <xf numFmtId="4" fontId="0" fillId="2" borderId="0" xfId="0" applyNumberFormat="1" applyFont="1" applyFill="1" applyBorder="1" applyAlignment="1">
      <alignment horizontal="left"/>
    </xf>
    <xf numFmtId="0" fontId="5" fillId="2" borderId="0" xfId="0" applyFont="1" applyFill="1" applyAlignment="1">
      <alignment horizontal="left"/>
    </xf>
    <xf numFmtId="4" fontId="0" fillId="2" borderId="0" xfId="0" applyNumberFormat="1" applyFont="1" applyFill="1"/>
    <xf numFmtId="164" fontId="0" fillId="2" borderId="0" xfId="0" applyNumberFormat="1" applyFont="1" applyFill="1"/>
    <xf numFmtId="0" fontId="11" fillId="2" borderId="0" xfId="0" applyFont="1" applyFill="1" applyAlignment="1">
      <alignment horizontal="left"/>
    </xf>
    <xf numFmtId="0" fontId="9" fillId="2" borderId="0" xfId="0" applyFont="1" applyFill="1" applyBorder="1" applyAlignment="1">
      <alignment horizontal="center"/>
    </xf>
    <xf numFmtId="164" fontId="0" fillId="0" borderId="0" xfId="0" applyNumberFormat="1"/>
    <xf numFmtId="0" fontId="2" fillId="2" borderId="0" xfId="0" applyFont="1" applyFill="1" applyAlignment="1">
      <alignment horizontal="left"/>
    </xf>
    <xf numFmtId="165" fontId="0" fillId="0" borderId="0" xfId="1" applyNumberFormat="1" applyFont="1"/>
    <xf numFmtId="0" fontId="0" fillId="0" borderId="0" xfId="0" applyFill="1"/>
    <xf numFmtId="0" fontId="0" fillId="2" borderId="0" xfId="0" applyFont="1" applyFill="1" applyAlignment="1"/>
    <xf numFmtId="4" fontId="0" fillId="2" borderId="0" xfId="0" applyNumberFormat="1" applyFont="1" applyFill="1" applyAlignment="1"/>
    <xf numFmtId="164" fontId="0" fillId="2" borderId="0" xfId="0" applyNumberFormat="1" applyFont="1" applyFill="1" applyAlignment="1"/>
    <xf numFmtId="0" fontId="0" fillId="0" borderId="0" xfId="0" applyAlignment="1"/>
    <xf numFmtId="0" fontId="13" fillId="0" borderId="0" xfId="0" applyFont="1"/>
    <xf numFmtId="164" fontId="13" fillId="0" borderId="0" xfId="0" applyNumberFormat="1" applyFont="1"/>
    <xf numFmtId="164" fontId="13" fillId="0" borderId="0" xfId="1" applyNumberFormat="1" applyFont="1"/>
    <xf numFmtId="0" fontId="13" fillId="2" borderId="0" xfId="0" applyFont="1" applyFill="1" applyAlignment="1">
      <alignment horizontal="right"/>
    </xf>
    <xf numFmtId="0" fontId="13" fillId="2" borderId="0" xfId="0" applyFont="1" applyFill="1"/>
    <xf numFmtId="4" fontId="13" fillId="2" borderId="0" xfId="0" applyNumberFormat="1" applyFont="1" applyFill="1"/>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5" fillId="0" borderId="0" xfId="0" applyFont="1"/>
    <xf numFmtId="0" fontId="11" fillId="0" borderId="0" xfId="0" applyFont="1"/>
    <xf numFmtId="165" fontId="0" fillId="2" borderId="0" xfId="1" applyNumberFormat="1" applyFont="1" applyFill="1"/>
    <xf numFmtId="165" fontId="0" fillId="0" borderId="0" xfId="1" applyNumberFormat="1" applyFont="1" applyAlignment="1"/>
    <xf numFmtId="0" fontId="11" fillId="2" borderId="0" xfId="0" applyFont="1" applyFill="1" applyAlignment="1">
      <alignment horizontal="left" vertical="center" wrapText="1"/>
    </xf>
    <xf numFmtId="164" fontId="0" fillId="0" borderId="0" xfId="0" applyNumberFormat="1" applyAlignment="1"/>
    <xf numFmtId="164" fontId="10" fillId="0" borderId="0" xfId="1" applyFont="1" applyFill="1" applyBorder="1"/>
    <xf numFmtId="0" fontId="0" fillId="0" borderId="0" xfId="0" applyFont="1" applyAlignment="1">
      <alignment vertic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4" fontId="5" fillId="2" borderId="1" xfId="1" applyNumberFormat="1" applyFont="1" applyFill="1" applyBorder="1" applyAlignment="1">
      <alignment horizontal="left"/>
    </xf>
    <xf numFmtId="164" fontId="10" fillId="2" borderId="1" xfId="1" applyFont="1" applyFill="1" applyBorder="1"/>
    <xf numFmtId="164" fontId="10" fillId="2" borderId="1" xfId="1" applyNumberFormat="1" applyFont="1" applyFill="1" applyBorder="1"/>
    <xf numFmtId="164" fontId="2" fillId="2" borderId="1" xfId="1" applyNumberFormat="1" applyFont="1" applyFill="1" applyBorder="1" applyAlignment="1">
      <alignment horizontal="left"/>
    </xf>
    <xf numFmtId="164" fontId="12" fillId="2" borderId="1" xfId="1" applyFont="1" applyFill="1" applyBorder="1"/>
    <xf numFmtId="164" fontId="12" fillId="2" borderId="1" xfId="1" applyNumberFormat="1" applyFont="1" applyFill="1" applyBorder="1"/>
    <xf numFmtId="164" fontId="2" fillId="7" borderId="1" xfId="1" applyNumberFormat="1" applyFont="1" applyFill="1" applyBorder="1" applyAlignment="1">
      <alignment horizontal="left"/>
    </xf>
    <xf numFmtId="164" fontId="5" fillId="7" borderId="1" xfId="1" applyNumberFormat="1" applyFont="1" applyFill="1" applyBorder="1" applyAlignment="1">
      <alignment horizontal="left"/>
    </xf>
    <xf numFmtId="164" fontId="10" fillId="7" borderId="1" xfId="1" applyFont="1" applyFill="1" applyBorder="1"/>
    <xf numFmtId="164" fontId="10" fillId="7" borderId="1" xfId="1" applyNumberFormat="1" applyFont="1" applyFill="1" applyBorder="1"/>
    <xf numFmtId="164" fontId="5" fillId="0" borderId="1" xfId="1" applyNumberFormat="1" applyFont="1" applyFill="1" applyBorder="1" applyAlignment="1">
      <alignment horizontal="left"/>
    </xf>
    <xf numFmtId="164" fontId="2" fillId="0" borderId="1" xfId="1" applyNumberFormat="1" applyFont="1" applyFill="1" applyBorder="1" applyAlignment="1">
      <alignment horizontal="left"/>
    </xf>
    <xf numFmtId="164" fontId="12" fillId="2" borderId="1" xfId="1" applyNumberFormat="1" applyFont="1" applyFill="1" applyBorder="1" applyAlignment="1">
      <alignment horizontal="right"/>
    </xf>
    <xf numFmtId="164" fontId="12" fillId="2" borderId="1" xfId="1" applyFont="1" applyFill="1" applyBorder="1" applyAlignment="1">
      <alignment horizontal="right"/>
    </xf>
    <xf numFmtId="0" fontId="0" fillId="0" borderId="1" xfId="0" applyBorder="1"/>
    <xf numFmtId="164" fontId="0" fillId="0" borderId="1" xfId="0" applyNumberFormat="1" applyBorder="1"/>
    <xf numFmtId="164" fontId="0" fillId="0" borderId="1" xfId="1" applyFont="1" applyBorder="1"/>
    <xf numFmtId="0" fontId="9" fillId="2" borderId="1" xfId="0" applyFont="1" applyFill="1" applyBorder="1" applyAlignment="1">
      <alignment horizontal="center"/>
    </xf>
    <xf numFmtId="0" fontId="9" fillId="2" borderId="1" xfId="0" applyFont="1" applyFill="1" applyBorder="1"/>
    <xf numFmtId="0" fontId="12" fillId="2" borderId="1" xfId="0" applyFont="1" applyFill="1" applyBorder="1"/>
    <xf numFmtId="0" fontId="9" fillId="7" borderId="1" xfId="0" applyFont="1" applyFill="1" applyBorder="1" applyAlignment="1">
      <alignment horizontal="center"/>
    </xf>
    <xf numFmtId="0" fontId="9" fillId="7" borderId="1" xfId="0" applyFont="1" applyFill="1" applyBorder="1"/>
    <xf numFmtId="0" fontId="9" fillId="0" borderId="1" xfId="0" applyFont="1" applyFill="1" applyBorder="1" applyAlignment="1">
      <alignment horizontal="center"/>
    </xf>
    <xf numFmtId="0" fontId="9" fillId="0" borderId="1" xfId="0" applyFont="1" applyFill="1" applyBorder="1"/>
    <xf numFmtId="0" fontId="12" fillId="0" borderId="1" xfId="0" applyFont="1" applyFill="1" applyBorder="1"/>
    <xf numFmtId="17" fontId="6" fillId="3" borderId="1" xfId="0" applyNumberFormat="1" applyFont="1" applyFill="1" applyBorder="1" applyAlignment="1">
      <alignment horizontal="center"/>
    </xf>
    <xf numFmtId="0" fontId="6" fillId="3" borderId="1" xfId="0" applyFont="1" applyFill="1" applyBorder="1" applyAlignment="1">
      <alignment horizontal="center"/>
    </xf>
    <xf numFmtId="17" fontId="6" fillId="3" borderId="1" xfId="0" quotePrefix="1" applyNumberFormat="1" applyFont="1" applyFill="1" applyBorder="1" applyAlignment="1">
      <alignment horizontal="center"/>
    </xf>
    <xf numFmtId="164" fontId="10" fillId="2" borderId="1" xfId="0" applyNumberFormat="1" applyFont="1" applyFill="1" applyBorder="1"/>
    <xf numFmtId="164" fontId="0" fillId="2" borderId="1" xfId="0" applyNumberFormat="1" applyFont="1" applyFill="1" applyBorder="1"/>
    <xf numFmtId="164" fontId="1" fillId="2" borderId="1" xfId="1" applyNumberFormat="1" applyFont="1" applyFill="1" applyBorder="1"/>
    <xf numFmtId="164" fontId="0" fillId="7" borderId="1" xfId="0" applyNumberFormat="1" applyFont="1" applyFill="1" applyBorder="1"/>
    <xf numFmtId="164" fontId="1" fillId="7" borderId="1" xfId="1" applyNumberFormat="1" applyFont="1" applyFill="1" applyBorder="1"/>
    <xf numFmtId="164" fontId="12" fillId="7" borderId="1" xfId="1" applyNumberFormat="1" applyFont="1" applyFill="1" applyBorder="1"/>
    <xf numFmtId="164" fontId="9" fillId="2" borderId="1" xfId="0" applyNumberFormat="1" applyFont="1" applyFill="1" applyBorder="1"/>
    <xf numFmtId="164" fontId="0" fillId="0" borderId="1" xfId="0" applyNumberFormat="1" applyFont="1" applyFill="1" applyBorder="1"/>
    <xf numFmtId="164" fontId="1" fillId="0" borderId="1" xfId="1" applyNumberFormat="1" applyFont="1" applyFill="1" applyBorder="1"/>
    <xf numFmtId="164" fontId="9" fillId="0" borderId="1" xfId="0" applyNumberFormat="1" applyFont="1" applyFill="1" applyBorder="1"/>
    <xf numFmtId="17" fontId="6" fillId="3" borderId="1" xfId="0" quotePrefix="1" applyNumberFormat="1" applyFont="1" applyFill="1" applyBorder="1" applyAlignment="1">
      <alignment horizontal="center"/>
    </xf>
    <xf numFmtId="17" fontId="6" fillId="3" borderId="1" xfId="0" quotePrefix="1" applyNumberFormat="1" applyFont="1" applyFill="1" applyBorder="1" applyAlignment="1">
      <alignment horizontal="center"/>
    </xf>
    <xf numFmtId="17" fontId="6" fillId="3" borderId="1" xfId="0" quotePrefix="1" applyNumberFormat="1" applyFont="1" applyFill="1" applyBorder="1" applyAlignment="1">
      <alignment horizontal="center"/>
    </xf>
    <xf numFmtId="17" fontId="6" fillId="3" borderId="1" xfId="0" quotePrefix="1" applyNumberFormat="1" applyFont="1" applyFill="1" applyBorder="1" applyAlignment="1">
      <alignment horizontal="center"/>
    </xf>
    <xf numFmtId="0" fontId="7" fillId="4" borderId="0" xfId="0" applyFont="1" applyFill="1" applyAlignment="1">
      <alignment horizontal="center"/>
    </xf>
    <xf numFmtId="0" fontId="8" fillId="5" borderId="1" xfId="2" applyFill="1" applyBorder="1"/>
    <xf numFmtId="0" fontId="8" fillId="6" borderId="1" xfId="2" applyFill="1" applyBorder="1"/>
    <xf numFmtId="0" fontId="14" fillId="2" borderId="0" xfId="0" applyFont="1" applyFill="1" applyAlignment="1">
      <alignment horizontal="center" vertical="center" wrapText="1"/>
    </xf>
    <xf numFmtId="0" fontId="8" fillId="0" borderId="0" xfId="2" applyBorder="1" applyAlignment="1">
      <alignment horizontal="left" vertical="center" wrapText="1"/>
    </xf>
    <xf numFmtId="17" fontId="6" fillId="3" borderId="1" xfId="0" quotePrefix="1" applyNumberFormat="1" applyFont="1" applyFill="1" applyBorder="1" applyAlignment="1">
      <alignment horizontal="center" wrapText="1"/>
    </xf>
    <xf numFmtId="0" fontId="11" fillId="2" borderId="0" xfId="0" applyFont="1" applyFill="1" applyAlignment="1">
      <alignment horizontal="justify"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11" fillId="2" borderId="0" xfId="0" applyFont="1" applyFill="1" applyAlignment="1">
      <alignment horizontal="left" vertical="center" wrapText="1"/>
    </xf>
    <xf numFmtId="17" fontId="6" fillId="3" borderId="1" xfId="0" applyNumberFormat="1" applyFont="1" applyFill="1" applyBorder="1" applyAlignment="1">
      <alignment horizontal="center"/>
    </xf>
    <xf numFmtId="0" fontId="6" fillId="3" borderId="1" xfId="0" applyFont="1" applyFill="1" applyBorder="1" applyAlignment="1">
      <alignment horizontal="center"/>
    </xf>
    <xf numFmtId="17" fontId="6" fillId="3" borderId="2" xfId="0" quotePrefix="1" applyNumberFormat="1" applyFont="1" applyFill="1" applyBorder="1" applyAlignment="1">
      <alignment horizontal="center" wrapText="1"/>
    </xf>
    <xf numFmtId="17" fontId="6" fillId="3" borderId="3" xfId="0" quotePrefix="1" applyNumberFormat="1" applyFont="1" applyFill="1" applyBorder="1" applyAlignment="1">
      <alignment horizontal="center" wrapText="1"/>
    </xf>
    <xf numFmtId="17" fontId="6" fillId="3" borderId="1" xfId="0" quotePrefix="1" applyNumberFormat="1" applyFont="1" applyFill="1" applyBorder="1" applyAlignment="1">
      <alignment horizontal="center"/>
    </xf>
    <xf numFmtId="0" fontId="2" fillId="2" borderId="0" xfId="0" applyFont="1" applyFill="1" applyBorder="1" applyAlignment="1">
      <alignment horizontal="left"/>
    </xf>
    <xf numFmtId="0" fontId="3" fillId="0" borderId="0" xfId="0" applyFont="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144780</xdr:rowOff>
    </xdr:from>
    <xdr:to>
      <xdr:col>4</xdr:col>
      <xdr:colOff>495300</xdr:colOff>
      <xdr:row>5</xdr:row>
      <xdr:rowOff>91440</xdr:rowOff>
    </xdr:to>
    <xdr:pic>
      <xdr:nvPicPr>
        <xdr:cNvPr id="2" name="Imagen 1" descr="COSE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44780"/>
          <a:ext cx="24765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2</xdr:col>
      <xdr:colOff>1578838</xdr:colOff>
      <xdr:row>4</xdr:row>
      <xdr:rowOff>101863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2</xdr:col>
      <xdr:colOff>1578838</xdr:colOff>
      <xdr:row>4</xdr:row>
      <xdr:rowOff>101863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A11">
            <v>8</v>
          </cell>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A21">
            <v>10</v>
          </cell>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3:H12"/>
  <sheetViews>
    <sheetView tabSelected="1" workbookViewId="0"/>
  </sheetViews>
  <sheetFormatPr baseColWidth="10" defaultColWidth="11.5546875" defaultRowHeight="14.4" x14ac:dyDescent="0.3"/>
  <cols>
    <col min="1" max="1" width="11.5546875" style="5"/>
    <col min="2" max="2" width="4.6640625" style="5" customWidth="1"/>
    <col min="3" max="6" width="11.5546875" style="5"/>
    <col min="7" max="7" width="20" style="5" customWidth="1"/>
    <col min="8" max="8" width="13.5546875" style="5" customWidth="1"/>
    <col min="9" max="16384" width="11.5546875" style="5"/>
  </cols>
  <sheetData>
    <row r="3" spans="2:8" ht="15" customHeight="1" x14ac:dyDescent="0.3">
      <c r="G3" s="95" t="s">
        <v>119</v>
      </c>
      <c r="H3" s="95"/>
    </row>
    <row r="4" spans="2:8" ht="15" customHeight="1" x14ac:dyDescent="0.3">
      <c r="G4" s="95"/>
      <c r="H4" s="95"/>
    </row>
    <row r="5" spans="2:8" ht="15" customHeight="1" x14ac:dyDescent="0.3">
      <c r="G5" s="95"/>
      <c r="H5" s="95"/>
    </row>
    <row r="6" spans="2:8" ht="22.5" customHeight="1" x14ac:dyDescent="0.3">
      <c r="G6" s="95"/>
      <c r="H6" s="95"/>
    </row>
    <row r="7" spans="2:8" ht="15" customHeight="1" x14ac:dyDescent="0.3">
      <c r="G7" s="95"/>
      <c r="H7" s="95"/>
    </row>
    <row r="8" spans="2:8" ht="18" x14ac:dyDescent="0.35">
      <c r="B8" s="92" t="s">
        <v>37</v>
      </c>
      <c r="C8" s="92"/>
      <c r="D8" s="92"/>
      <c r="E8" s="92"/>
      <c r="F8" s="92"/>
      <c r="G8" s="92"/>
      <c r="H8" s="92"/>
    </row>
    <row r="10" spans="2:8" x14ac:dyDescent="0.3">
      <c r="B10" s="11" t="s">
        <v>38</v>
      </c>
      <c r="C10" s="93" t="s">
        <v>17</v>
      </c>
      <c r="D10" s="93"/>
      <c r="E10" s="93"/>
      <c r="F10" s="93"/>
      <c r="G10" s="93"/>
      <c r="H10" s="93"/>
    </row>
    <row r="11" spans="2:8" x14ac:dyDescent="0.3">
      <c r="B11" s="10"/>
      <c r="C11" s="4"/>
      <c r="D11" s="4"/>
      <c r="E11" s="4"/>
      <c r="F11" s="4"/>
      <c r="G11" s="4"/>
      <c r="H11" s="4"/>
    </row>
    <row r="12" spans="2:8" x14ac:dyDescent="0.3">
      <c r="B12" s="12" t="s">
        <v>39</v>
      </c>
      <c r="C12" s="94" t="s">
        <v>18</v>
      </c>
      <c r="D12" s="94"/>
      <c r="E12" s="94"/>
      <c r="F12" s="94"/>
      <c r="G12" s="94"/>
      <c r="H12" s="94"/>
    </row>
  </sheetData>
  <mergeCells count="4">
    <mergeCell ref="B8:H8"/>
    <mergeCell ref="C10:H10"/>
    <mergeCell ref="C12:H12"/>
    <mergeCell ref="G3:H7"/>
  </mergeCells>
  <hyperlinks>
    <hyperlink ref="C12:H12" location="'Popular y Solidario'!A1" display="SISTEMA FINANCIERO POPULAR Y SOLIDARIO"/>
    <hyperlink ref="C10:H10" location="Privado!A1" display="SISTEMA FINANCIERO PRIV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DG71"/>
  <sheetViews>
    <sheetView showGridLines="0" zoomScale="90" zoomScaleNormal="90" workbookViewId="0">
      <pane xSplit="3" ySplit="10" topLeftCell="D11" activePane="bottomRight" state="frozen"/>
      <selection pane="topRight" activeCell="D1" sqref="D1"/>
      <selection pane="bottomLeft" activeCell="A11" sqref="A11"/>
      <selection pane="bottomRight" activeCell="D7" sqref="D7:E7"/>
    </sheetView>
  </sheetViews>
  <sheetFormatPr baseColWidth="10" defaultRowHeight="14.4" x14ac:dyDescent="0.3"/>
  <cols>
    <col min="1" max="1" width="2.109375" customWidth="1"/>
    <col min="2" max="2" width="5.109375" customWidth="1"/>
    <col min="3" max="3" width="32.44140625" customWidth="1"/>
    <col min="4" max="33" width="11.109375" bestFit="1" customWidth="1"/>
    <col min="34" max="47" width="12.5546875" bestFit="1" customWidth="1"/>
    <col min="48" max="64" width="12.44140625" customWidth="1"/>
    <col min="65" max="65" width="14.44140625" customWidth="1"/>
    <col min="66" max="66" width="14.44140625" bestFit="1" customWidth="1"/>
    <col min="67" max="67" width="14.44140625" customWidth="1"/>
    <col min="68" max="69" width="14.44140625" bestFit="1" customWidth="1"/>
    <col min="70" max="74" width="14.44140625" customWidth="1"/>
    <col min="75" max="77" width="14.44140625" bestFit="1" customWidth="1"/>
    <col min="78" max="83" width="14.44140625" customWidth="1"/>
    <col min="84" max="85" width="14.44140625" bestFit="1" customWidth="1"/>
    <col min="86" max="95" width="14.44140625" customWidth="1"/>
    <col min="96" max="98" width="15.109375" customWidth="1"/>
    <col min="99" max="101" width="17" customWidth="1"/>
    <col min="102" max="102" width="14.77734375" bestFit="1" customWidth="1"/>
    <col min="103" max="103" width="18.109375" customWidth="1"/>
    <col min="104" max="104" width="14.77734375" bestFit="1" customWidth="1"/>
    <col min="105" max="105" width="15.5546875" bestFit="1" customWidth="1"/>
    <col min="106" max="111" width="18.88671875" bestFit="1" customWidth="1"/>
  </cols>
  <sheetData>
    <row r="1" spans="2:111" ht="4.5" customHeight="1" x14ac:dyDescent="0.3"/>
    <row r="2" spans="2:111" s="46" customFormat="1" x14ac:dyDescent="0.3"/>
    <row r="3" spans="2:111" ht="18" x14ac:dyDescent="0.3">
      <c r="B3" s="6"/>
      <c r="C3" s="6"/>
      <c r="D3" s="7" t="s">
        <v>16</v>
      </c>
      <c r="E3" s="7"/>
      <c r="F3" s="7"/>
      <c r="G3" s="7"/>
      <c r="H3" s="7"/>
      <c r="I3" s="7"/>
      <c r="J3" s="7"/>
      <c r="K3" s="7"/>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2:111" ht="15.6" x14ac:dyDescent="0.3">
      <c r="B4" s="7"/>
      <c r="C4" s="7"/>
      <c r="D4" s="47" t="s">
        <v>20</v>
      </c>
      <c r="E4" s="47"/>
      <c r="F4" s="47"/>
      <c r="G4" s="47"/>
      <c r="H4" s="47"/>
      <c r="I4" s="47"/>
      <c r="J4" s="47"/>
      <c r="K4" s="4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row>
    <row r="5" spans="2:111" x14ac:dyDescent="0.3">
      <c r="B5" s="8"/>
      <c r="C5" s="8"/>
      <c r="D5" s="99" t="s">
        <v>118</v>
      </c>
      <c r="E5" s="99"/>
      <c r="F5" s="99"/>
      <c r="G5" s="99"/>
      <c r="H5" s="99"/>
      <c r="I5" s="99"/>
      <c r="J5" s="99"/>
      <c r="K5" s="99"/>
      <c r="L5" s="99"/>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2:111" x14ac:dyDescent="0.3">
      <c r="D6" s="100" t="s">
        <v>35</v>
      </c>
      <c r="E6" s="100"/>
      <c r="F6" s="100"/>
      <c r="G6" s="100"/>
      <c r="H6" s="100"/>
      <c r="I6" s="100"/>
      <c r="J6" s="100"/>
      <c r="K6" s="100"/>
      <c r="L6" s="100"/>
      <c r="AV6" s="26"/>
      <c r="AW6" s="26"/>
      <c r="AX6" s="26"/>
    </row>
    <row r="7" spans="2:111" x14ac:dyDescent="0.3">
      <c r="D7" s="96" t="s">
        <v>19</v>
      </c>
      <c r="E7" s="96"/>
      <c r="F7" s="9"/>
      <c r="G7" s="9"/>
      <c r="H7" s="9"/>
      <c r="I7" s="9"/>
      <c r="J7" s="9"/>
      <c r="K7" s="9"/>
    </row>
    <row r="8" spans="2:111" x14ac:dyDescent="0.3">
      <c r="J8" s="24"/>
    </row>
    <row r="9" spans="2:111" x14ac:dyDescent="0.3">
      <c r="B9" s="1"/>
      <c r="C9" s="1"/>
      <c r="D9" s="103" t="s">
        <v>6</v>
      </c>
      <c r="E9" s="103"/>
      <c r="F9" s="103"/>
      <c r="G9" s="103"/>
      <c r="H9" s="103"/>
      <c r="I9" s="103"/>
      <c r="J9" s="103"/>
      <c r="K9" s="103"/>
      <c r="L9" s="103"/>
      <c r="M9" s="103"/>
      <c r="N9" s="103"/>
      <c r="O9" s="103"/>
      <c r="P9" s="103" t="s">
        <v>13</v>
      </c>
      <c r="Q9" s="103"/>
      <c r="R9" s="103"/>
      <c r="S9" s="103"/>
      <c r="T9" s="103"/>
      <c r="U9" s="103"/>
      <c r="V9" s="103"/>
      <c r="W9" s="103"/>
      <c r="X9" s="103"/>
      <c r="Y9" s="103"/>
      <c r="Z9" s="103"/>
      <c r="AA9" s="103"/>
      <c r="AB9" s="103" t="s">
        <v>14</v>
      </c>
      <c r="AC9" s="103"/>
      <c r="AD9" s="103"/>
      <c r="AE9" s="103"/>
      <c r="AF9" s="103"/>
      <c r="AG9" s="103"/>
      <c r="AH9" s="103"/>
      <c r="AI9" s="103"/>
      <c r="AJ9" s="103"/>
      <c r="AK9" s="103"/>
      <c r="AL9" s="103"/>
      <c r="AM9" s="103"/>
      <c r="AN9" s="103" t="s">
        <v>15</v>
      </c>
      <c r="AO9" s="103"/>
      <c r="AP9" s="103"/>
      <c r="AQ9" s="103"/>
      <c r="AR9" s="103"/>
      <c r="AS9" s="103"/>
      <c r="AT9" s="103"/>
      <c r="AU9" s="103"/>
      <c r="AV9" s="103"/>
      <c r="AW9" s="103"/>
      <c r="AX9" s="103"/>
      <c r="AY9" s="103"/>
      <c r="AZ9" s="103" t="s">
        <v>69</v>
      </c>
      <c r="BA9" s="103"/>
      <c r="BB9" s="103"/>
      <c r="BC9" s="103"/>
      <c r="BD9" s="103"/>
      <c r="BE9" s="103"/>
      <c r="BF9" s="103"/>
      <c r="BG9" s="103"/>
      <c r="BH9" s="103"/>
      <c r="BI9" s="103"/>
      <c r="BJ9" s="103"/>
      <c r="BK9" s="103"/>
      <c r="BL9" s="103" t="s">
        <v>86</v>
      </c>
      <c r="BM9" s="103"/>
      <c r="BN9" s="103"/>
      <c r="BO9" s="103"/>
      <c r="BP9" s="103"/>
      <c r="BQ9" s="103"/>
      <c r="BR9" s="103"/>
      <c r="BS9" s="103"/>
      <c r="BT9" s="103"/>
      <c r="BU9" s="103"/>
      <c r="BV9" s="103"/>
      <c r="BW9" s="103"/>
      <c r="BX9" s="102" t="s">
        <v>89</v>
      </c>
      <c r="BY9" s="102"/>
      <c r="BZ9" s="102"/>
      <c r="CA9" s="102"/>
      <c r="CB9" s="102"/>
      <c r="CC9" s="102"/>
      <c r="CD9" s="102"/>
      <c r="CE9" s="102"/>
      <c r="CF9" s="102"/>
      <c r="CG9" s="102"/>
      <c r="CH9" s="102"/>
      <c r="CI9" s="102"/>
      <c r="CJ9" s="97" t="s">
        <v>95</v>
      </c>
      <c r="CK9" s="97"/>
      <c r="CL9" s="97"/>
      <c r="CM9" s="97"/>
      <c r="CN9" s="97"/>
      <c r="CO9" s="97"/>
      <c r="CP9" s="97"/>
      <c r="CQ9" s="97"/>
      <c r="CR9" s="97"/>
      <c r="CS9" s="97"/>
      <c r="CT9" s="97"/>
      <c r="CU9" s="97"/>
      <c r="CV9" s="104" t="s">
        <v>109</v>
      </c>
      <c r="CW9" s="105"/>
      <c r="CX9" s="105"/>
      <c r="CY9" s="105"/>
      <c r="CZ9" s="105"/>
      <c r="DA9" s="105"/>
      <c r="DB9" s="105"/>
      <c r="DC9" s="105"/>
      <c r="DD9" s="105"/>
      <c r="DE9" s="105"/>
      <c r="DF9" s="105"/>
      <c r="DG9" s="105"/>
    </row>
    <row r="10" spans="2:111" ht="16.2" x14ac:dyDescent="0.3">
      <c r="B10" s="23"/>
      <c r="C10" s="23"/>
      <c r="D10" s="48" t="s">
        <v>42</v>
      </c>
      <c r="E10" s="48" t="s">
        <v>43</v>
      </c>
      <c r="F10" s="48" t="s">
        <v>44</v>
      </c>
      <c r="G10" s="48" t="s">
        <v>45</v>
      </c>
      <c r="H10" s="48" t="s">
        <v>46</v>
      </c>
      <c r="I10" s="48" t="s">
        <v>47</v>
      </c>
      <c r="J10" s="48" t="s">
        <v>48</v>
      </c>
      <c r="K10" s="48" t="s">
        <v>49</v>
      </c>
      <c r="L10" s="48" t="s">
        <v>50</v>
      </c>
      <c r="M10" s="48" t="s">
        <v>51</v>
      </c>
      <c r="N10" s="48" t="s">
        <v>52</v>
      </c>
      <c r="O10" s="48" t="s">
        <v>53</v>
      </c>
      <c r="P10" s="48" t="s">
        <v>42</v>
      </c>
      <c r="Q10" s="48" t="s">
        <v>43</v>
      </c>
      <c r="R10" s="48" t="s">
        <v>44</v>
      </c>
      <c r="S10" s="48" t="s">
        <v>45</v>
      </c>
      <c r="T10" s="48" t="s">
        <v>46</v>
      </c>
      <c r="U10" s="48" t="s">
        <v>47</v>
      </c>
      <c r="V10" s="48" t="s">
        <v>48</v>
      </c>
      <c r="W10" s="48" t="s">
        <v>49</v>
      </c>
      <c r="X10" s="48" t="s">
        <v>50</v>
      </c>
      <c r="Y10" s="48" t="s">
        <v>51</v>
      </c>
      <c r="Z10" s="48" t="s">
        <v>52</v>
      </c>
      <c r="AA10" s="48" t="s">
        <v>53</v>
      </c>
      <c r="AB10" s="48" t="s">
        <v>42</v>
      </c>
      <c r="AC10" s="48" t="s">
        <v>43</v>
      </c>
      <c r="AD10" s="48" t="s">
        <v>44</v>
      </c>
      <c r="AE10" s="48" t="s">
        <v>45</v>
      </c>
      <c r="AF10" s="48" t="s">
        <v>46</v>
      </c>
      <c r="AG10" s="48" t="s">
        <v>47</v>
      </c>
      <c r="AH10" s="48" t="s">
        <v>48</v>
      </c>
      <c r="AI10" s="48" t="s">
        <v>49</v>
      </c>
      <c r="AJ10" s="48" t="s">
        <v>50</v>
      </c>
      <c r="AK10" s="48" t="s">
        <v>51</v>
      </c>
      <c r="AL10" s="48" t="s">
        <v>52</v>
      </c>
      <c r="AM10" s="48" t="s">
        <v>53</v>
      </c>
      <c r="AN10" s="48" t="s">
        <v>10</v>
      </c>
      <c r="AO10" s="48" t="s">
        <v>0</v>
      </c>
      <c r="AP10" s="48" t="s">
        <v>7</v>
      </c>
      <c r="AQ10" s="48" t="s">
        <v>8</v>
      </c>
      <c r="AR10" s="48" t="s">
        <v>9</v>
      </c>
      <c r="AS10" s="48" t="s">
        <v>11</v>
      </c>
      <c r="AT10" s="48" t="s">
        <v>56</v>
      </c>
      <c r="AU10" s="48" t="s">
        <v>12</v>
      </c>
      <c r="AV10" s="48" t="s">
        <v>2</v>
      </c>
      <c r="AW10" s="48" t="s">
        <v>3</v>
      </c>
      <c r="AX10" s="48" t="s">
        <v>4</v>
      </c>
      <c r="AY10" s="49" t="s">
        <v>75</v>
      </c>
      <c r="AZ10" s="49" t="s">
        <v>10</v>
      </c>
      <c r="BA10" s="49" t="s">
        <v>0</v>
      </c>
      <c r="BB10" s="49" t="s">
        <v>7</v>
      </c>
      <c r="BC10" s="49" t="s">
        <v>8</v>
      </c>
      <c r="BD10" s="49" t="s">
        <v>78</v>
      </c>
      <c r="BE10" s="49" t="s">
        <v>55</v>
      </c>
      <c r="BF10" s="49" t="s">
        <v>1</v>
      </c>
      <c r="BG10" s="49" t="s">
        <v>12</v>
      </c>
      <c r="BH10" s="49" t="s">
        <v>2</v>
      </c>
      <c r="BI10" s="49" t="s">
        <v>3</v>
      </c>
      <c r="BJ10" s="49" t="s">
        <v>4</v>
      </c>
      <c r="BK10" s="49" t="s">
        <v>82</v>
      </c>
      <c r="BL10" s="49" t="s">
        <v>10</v>
      </c>
      <c r="BM10" s="49" t="s">
        <v>0</v>
      </c>
      <c r="BN10" s="49" t="s">
        <v>7</v>
      </c>
      <c r="BO10" s="49" t="s">
        <v>8</v>
      </c>
      <c r="BP10" s="49" t="s">
        <v>9</v>
      </c>
      <c r="BQ10" s="49" t="s">
        <v>11</v>
      </c>
      <c r="BR10" s="49" t="s">
        <v>1</v>
      </c>
      <c r="BS10" s="49" t="s">
        <v>12</v>
      </c>
      <c r="BT10" s="49" t="s">
        <v>2</v>
      </c>
      <c r="BU10" s="49" t="s">
        <v>3</v>
      </c>
      <c r="BV10" s="49" t="s">
        <v>4</v>
      </c>
      <c r="BW10" s="49" t="s">
        <v>5</v>
      </c>
      <c r="BX10" s="49" t="s">
        <v>10</v>
      </c>
      <c r="BY10" s="49" t="s">
        <v>0</v>
      </c>
      <c r="BZ10" s="49" t="s">
        <v>7</v>
      </c>
      <c r="CA10" s="49" t="s">
        <v>8</v>
      </c>
      <c r="CB10" s="49" t="s">
        <v>9</v>
      </c>
      <c r="CC10" s="49" t="s">
        <v>11</v>
      </c>
      <c r="CD10" s="49" t="s">
        <v>1</v>
      </c>
      <c r="CE10" s="49" t="s">
        <v>12</v>
      </c>
      <c r="CF10" s="49" t="s">
        <v>2</v>
      </c>
      <c r="CG10" s="49" t="s">
        <v>3</v>
      </c>
      <c r="CH10" s="49" t="s">
        <v>4</v>
      </c>
      <c r="CI10" s="49" t="s">
        <v>5</v>
      </c>
      <c r="CJ10" s="49" t="s">
        <v>10</v>
      </c>
      <c r="CK10" s="49" t="s">
        <v>0</v>
      </c>
      <c r="CL10" s="49" t="s">
        <v>7</v>
      </c>
      <c r="CM10" s="49" t="s">
        <v>102</v>
      </c>
      <c r="CN10" s="49" t="s">
        <v>101</v>
      </c>
      <c r="CO10" s="49" t="s">
        <v>11</v>
      </c>
      <c r="CP10" s="49" t="s">
        <v>1</v>
      </c>
      <c r="CQ10" s="49" t="s">
        <v>104</v>
      </c>
      <c r="CR10" s="49" t="s">
        <v>2</v>
      </c>
      <c r="CS10" s="49" t="s">
        <v>106</v>
      </c>
      <c r="CT10" s="49" t="s">
        <v>4</v>
      </c>
      <c r="CU10" s="49" t="s">
        <v>5</v>
      </c>
      <c r="CV10" s="49" t="s">
        <v>108</v>
      </c>
      <c r="CW10" s="49" t="s">
        <v>110</v>
      </c>
      <c r="CX10" s="49" t="s">
        <v>112</v>
      </c>
      <c r="CY10" s="49" t="s">
        <v>115</v>
      </c>
      <c r="CZ10" s="49" t="s">
        <v>9</v>
      </c>
      <c r="DA10" s="49" t="s">
        <v>11</v>
      </c>
      <c r="DB10" s="49" t="s">
        <v>1</v>
      </c>
      <c r="DC10" s="49" t="s">
        <v>12</v>
      </c>
      <c r="DD10" s="77" t="s">
        <v>2</v>
      </c>
      <c r="DE10" s="89" t="s">
        <v>117</v>
      </c>
      <c r="DF10" s="90" t="s">
        <v>4</v>
      </c>
      <c r="DG10" s="91" t="s">
        <v>5</v>
      </c>
    </row>
    <row r="11" spans="2:111" x14ac:dyDescent="0.3">
      <c r="B11" s="67">
        <v>1</v>
      </c>
      <c r="C11" s="68" t="s">
        <v>21</v>
      </c>
      <c r="D11" s="50">
        <v>636435.14507999993</v>
      </c>
      <c r="E11" s="50">
        <v>651443.48765000002</v>
      </c>
      <c r="F11" s="50">
        <v>665837.30559</v>
      </c>
      <c r="G11" s="50">
        <v>680717.65462000004</v>
      </c>
      <c r="H11" s="50">
        <v>695180.48152999999</v>
      </c>
      <c r="I11" s="50">
        <v>709810.73713999998</v>
      </c>
      <c r="J11" s="50">
        <v>724477.30945000006</v>
      </c>
      <c r="K11" s="50">
        <v>739242.08759000001</v>
      </c>
      <c r="L11" s="50">
        <v>754121.22584000009</v>
      </c>
      <c r="M11" s="50">
        <v>769171.77506999997</v>
      </c>
      <c r="N11" s="50">
        <v>783159.57817999995</v>
      </c>
      <c r="O11" s="50">
        <v>795749.99976999999</v>
      </c>
      <c r="P11" s="50">
        <v>811730.34299999999</v>
      </c>
      <c r="Q11" s="50">
        <v>828660.7220200001</v>
      </c>
      <c r="R11" s="50">
        <v>768056.9124899999</v>
      </c>
      <c r="S11" s="50">
        <v>783463.96006000007</v>
      </c>
      <c r="T11" s="50">
        <v>797083.79955</v>
      </c>
      <c r="U11" s="50">
        <v>798518.66322999995</v>
      </c>
      <c r="V11" s="50">
        <v>799913.42927999992</v>
      </c>
      <c r="W11" s="50">
        <v>841492.91809000005</v>
      </c>
      <c r="X11" s="50">
        <v>842846.64267000009</v>
      </c>
      <c r="Y11" s="50">
        <v>871560.75478000008</v>
      </c>
      <c r="Z11" s="50">
        <v>886787.64746000001</v>
      </c>
      <c r="AA11" s="50">
        <v>902411.81455000001</v>
      </c>
      <c r="AB11" s="50">
        <v>923467.52627999999</v>
      </c>
      <c r="AC11" s="50">
        <v>925014.45889000001</v>
      </c>
      <c r="AD11" s="50">
        <v>950392.83270999999</v>
      </c>
      <c r="AE11" s="50">
        <v>966851.45559999987</v>
      </c>
      <c r="AF11" s="50">
        <v>982878.39644999988</v>
      </c>
      <c r="AG11" s="50">
        <v>998510.68111</v>
      </c>
      <c r="AH11" s="50">
        <v>1014031.43743</v>
      </c>
      <c r="AI11" s="50">
        <v>1029436.1723000001</v>
      </c>
      <c r="AJ11" s="50">
        <v>1044331.43273</v>
      </c>
      <c r="AK11" s="50">
        <v>1059447.3496099999</v>
      </c>
      <c r="AL11" s="50">
        <v>1074241.9699600001</v>
      </c>
      <c r="AM11" s="50">
        <v>1089164.0474200002</v>
      </c>
      <c r="AN11" s="50">
        <v>1103960.7059599999</v>
      </c>
      <c r="AO11" s="50">
        <v>1118847.7017000001</v>
      </c>
      <c r="AP11" s="50">
        <v>1133986.6404499998</v>
      </c>
      <c r="AQ11" s="50">
        <v>1148931.5014099998</v>
      </c>
      <c r="AR11" s="50">
        <v>1164347.5440400001</v>
      </c>
      <c r="AS11" s="50">
        <v>1179449.0116499998</v>
      </c>
      <c r="AT11" s="50">
        <v>1194630.2210200001</v>
      </c>
      <c r="AU11" s="50">
        <v>1179531.9924600001</v>
      </c>
      <c r="AV11" s="50">
        <f>+SUM(AV12:AV14)</f>
        <v>1194551.8299700001</v>
      </c>
      <c r="AW11" s="50">
        <f>+SUM(AW12:AW14)</f>
        <v>1209838.5172600001</v>
      </c>
      <c r="AX11" s="50">
        <f>+SUM(AX12:AX14)</f>
        <v>1225577.43805</v>
      </c>
      <c r="AY11" s="50">
        <f>+SUM(AY12:AY14)</f>
        <v>1197800.3924400001</v>
      </c>
      <c r="AZ11" s="50">
        <f>+SUM(AZ12:AZ14)</f>
        <v>1213442.0610199999</v>
      </c>
      <c r="BA11" s="50">
        <v>1229444.6391299998</v>
      </c>
      <c r="BB11" s="50">
        <v>1245360.7330999998</v>
      </c>
      <c r="BC11" s="50">
        <v>1262584.4959699998</v>
      </c>
      <c r="BD11" s="50">
        <v>1279937.51254</v>
      </c>
      <c r="BE11" s="50">
        <v>1296008.8001900001</v>
      </c>
      <c r="BF11" s="50">
        <v>1312274.5456300001</v>
      </c>
      <c r="BG11" s="50">
        <v>1328385.45297</v>
      </c>
      <c r="BH11" s="50">
        <v>1342944.1030899999</v>
      </c>
      <c r="BI11" s="50">
        <v>1360663.9186799999</v>
      </c>
      <c r="BJ11" s="50">
        <v>1376805.8597899999</v>
      </c>
      <c r="BK11" s="50">
        <v>1393225.2643900001</v>
      </c>
      <c r="BL11" s="50">
        <v>1410237.4894400002</v>
      </c>
      <c r="BM11" s="51">
        <v>1411955.8651700001</v>
      </c>
      <c r="BN11" s="51">
        <v>1444069.6809400001</v>
      </c>
      <c r="BO11" s="51">
        <v>1461313.58042</v>
      </c>
      <c r="BP11" s="51">
        <v>1478656.3438599999</v>
      </c>
      <c r="BQ11" s="51">
        <v>1495840.7882800002</v>
      </c>
      <c r="BR11" s="51">
        <v>1513048.9860499999</v>
      </c>
      <c r="BS11" s="51">
        <v>1532223.58503</v>
      </c>
      <c r="BT11" s="51">
        <v>1549502.0656700002</v>
      </c>
      <c r="BU11" s="51">
        <v>1566925.2701000001</v>
      </c>
      <c r="BV11" s="51">
        <v>1569260.7803900002</v>
      </c>
      <c r="BW11" s="51">
        <v>1601745.4601299998</v>
      </c>
      <c r="BX11" s="51">
        <v>1619834.0215400001</v>
      </c>
      <c r="BY11" s="51">
        <v>1637664.57708</v>
      </c>
      <c r="BZ11" s="51">
        <v>1655935.1717600001</v>
      </c>
      <c r="CA11" s="51">
        <v>1674575.49086</v>
      </c>
      <c r="CB11" s="51">
        <v>1693549.4158899998</v>
      </c>
      <c r="CC11" s="51">
        <v>1712221.4358099999</v>
      </c>
      <c r="CD11" s="51">
        <v>1731301.1301</v>
      </c>
      <c r="CE11" s="51">
        <v>1750400.0898899999</v>
      </c>
      <c r="CF11" s="51">
        <v>1769607.1617900003</v>
      </c>
      <c r="CG11" s="51">
        <v>1788866.5146700002</v>
      </c>
      <c r="CH11" s="51">
        <v>1808389.2468300001</v>
      </c>
      <c r="CI11" s="51">
        <v>1828012.2525899999</v>
      </c>
      <c r="CJ11" s="52">
        <v>1831676.1474200001</v>
      </c>
      <c r="CK11" s="52">
        <v>1868602.3808199998</v>
      </c>
      <c r="CL11" s="52">
        <v>1889258.61063</v>
      </c>
      <c r="CM11" s="52">
        <v>1892867.0568599999</v>
      </c>
      <c r="CN11" s="52">
        <v>1896613.76088</v>
      </c>
      <c r="CO11" s="52">
        <v>1900274.9823999999</v>
      </c>
      <c r="CP11" s="52">
        <v>1971267.99235</v>
      </c>
      <c r="CQ11" s="52">
        <v>1991946.6883999999</v>
      </c>
      <c r="CR11" s="51">
        <v>2012785.7575719999</v>
      </c>
      <c r="CS11" s="51">
        <v>2033976.0169199998</v>
      </c>
      <c r="CT11" s="51">
        <v>2055305.09828</v>
      </c>
      <c r="CU11" s="51">
        <v>2076820.70086</v>
      </c>
      <c r="CV11" s="51">
        <v>2080456.9822199999</v>
      </c>
      <c r="CW11" s="51">
        <v>2083863.35415</v>
      </c>
      <c r="CX11" s="51">
        <v>2087518.98447</v>
      </c>
      <c r="CY11" s="51">
        <f>2137932366.08/1000</f>
        <v>2137932.3660800001</v>
      </c>
      <c r="CZ11" s="51">
        <f>2178880288.68/1000</f>
        <v>2178880.2886799998</v>
      </c>
      <c r="DA11" s="51">
        <f>2202939304.09/1000</f>
        <v>2202939.3040900002</v>
      </c>
      <c r="DB11" s="51">
        <v>2208951.0135500003</v>
      </c>
      <c r="DC11" s="51">
        <f>2254050701.72/1000</f>
        <v>2254050.7017199998</v>
      </c>
      <c r="DD11" s="51">
        <f>2279051853.62/1000</f>
        <v>2279051.8536199997</v>
      </c>
      <c r="DE11" s="51">
        <f>2284210557.07/1000</f>
        <v>2284210.5570700001</v>
      </c>
      <c r="DF11" s="51">
        <v>2328175.7913099998</v>
      </c>
      <c r="DG11" s="51">
        <f>2353587111.45/1000</f>
        <v>2353587.1114499997</v>
      </c>
    </row>
    <row r="12" spans="2:111" x14ac:dyDescent="0.3">
      <c r="B12" s="67" t="s">
        <v>22</v>
      </c>
      <c r="C12" s="69" t="s">
        <v>23</v>
      </c>
      <c r="D12" s="53">
        <v>82267.310689999998</v>
      </c>
      <c r="E12" s="53">
        <v>95644.748550000004</v>
      </c>
      <c r="F12" s="53">
        <v>63609.145409999997</v>
      </c>
      <c r="G12" s="53">
        <v>77278.168839999998</v>
      </c>
      <c r="H12" s="53">
        <v>70683.166920000003</v>
      </c>
      <c r="I12" s="53">
        <v>108866.78129000001</v>
      </c>
      <c r="J12" s="53">
        <v>122446.52501000001</v>
      </c>
      <c r="K12" s="53">
        <v>136088.70791</v>
      </c>
      <c r="L12" s="53">
        <v>149885.64587000001</v>
      </c>
      <c r="M12" s="53">
        <v>163950.64999000001</v>
      </c>
      <c r="N12" s="53">
        <v>176754.52502</v>
      </c>
      <c r="O12" s="53">
        <v>153725.35096000001</v>
      </c>
      <c r="P12" s="53">
        <v>168358.64885</v>
      </c>
      <c r="Q12" s="53">
        <v>206544.89812</v>
      </c>
      <c r="R12" s="53">
        <v>164561.08113999999</v>
      </c>
      <c r="S12" s="53">
        <v>178313.57450999998</v>
      </c>
      <c r="T12" s="53">
        <v>146523.53702000002</v>
      </c>
      <c r="U12" s="53">
        <v>131523.43703</v>
      </c>
      <c r="V12" s="53">
        <v>131410.44837999999</v>
      </c>
      <c r="W12" s="53">
        <v>213391.50753</v>
      </c>
      <c r="X12" s="53">
        <v>252155.75652000002</v>
      </c>
      <c r="Y12" s="53">
        <v>244032.14098</v>
      </c>
      <c r="Z12" s="53">
        <v>149875.58807</v>
      </c>
      <c r="AA12" s="53">
        <v>167072.74562999999</v>
      </c>
      <c r="AB12" s="53">
        <v>153478.30375999998</v>
      </c>
      <c r="AC12" s="53">
        <v>153463.48387999999</v>
      </c>
      <c r="AD12" s="53">
        <v>129549.71170999999</v>
      </c>
      <c r="AE12" s="53">
        <v>127297.8238</v>
      </c>
      <c r="AF12" s="53">
        <v>156376.05927999999</v>
      </c>
      <c r="AG12" s="53">
        <v>165295.18136000002</v>
      </c>
      <c r="AH12" s="53">
        <v>168529.39755000002</v>
      </c>
      <c r="AI12" s="53">
        <v>148469.75963999997</v>
      </c>
      <c r="AJ12" s="53">
        <v>164161.15328</v>
      </c>
      <c r="AK12" s="53">
        <v>119198.9458</v>
      </c>
      <c r="AL12" s="53">
        <v>134197.21460000001</v>
      </c>
      <c r="AM12" s="53">
        <v>178984.46734</v>
      </c>
      <c r="AN12" s="53">
        <v>108760.71143000001</v>
      </c>
      <c r="AO12" s="53">
        <v>123925.60193</v>
      </c>
      <c r="AP12" s="53">
        <v>188017.13336000001</v>
      </c>
      <c r="AQ12" s="53">
        <v>226893.73083000001</v>
      </c>
      <c r="AR12" s="53">
        <v>223525.72390000001</v>
      </c>
      <c r="AS12" s="53">
        <v>272652.75477</v>
      </c>
      <c r="AT12" s="53">
        <v>322877.88308999996</v>
      </c>
      <c r="AU12" s="53">
        <v>334170.73911000002</v>
      </c>
      <c r="AV12" s="53">
        <v>353408.83344000002</v>
      </c>
      <c r="AW12" s="53">
        <v>405192.56348000001</v>
      </c>
      <c r="AX12" s="53">
        <v>423379.71707999997</v>
      </c>
      <c r="AY12" s="53">
        <v>437355.17479000002</v>
      </c>
      <c r="AZ12" s="53">
        <v>447031.03988</v>
      </c>
      <c r="BA12" s="53">
        <v>464814.24789999996</v>
      </c>
      <c r="BB12" s="53">
        <v>482021.53249999997</v>
      </c>
      <c r="BC12" s="53">
        <v>498216.65924000001</v>
      </c>
      <c r="BD12" s="53">
        <v>463962.32991000003</v>
      </c>
      <c r="BE12" s="53">
        <v>471965.74362000002</v>
      </c>
      <c r="BF12" s="53">
        <v>488926.60933999997</v>
      </c>
      <c r="BG12" s="53">
        <v>507267.36082</v>
      </c>
      <c r="BH12" s="53">
        <v>460764.34097999998</v>
      </c>
      <c r="BI12" s="53">
        <v>476951.57207999995</v>
      </c>
      <c r="BJ12" s="53">
        <v>486342.88150000002</v>
      </c>
      <c r="BK12" s="53">
        <v>384793.37868999998</v>
      </c>
      <c r="BL12" s="53">
        <v>384763.12475999998</v>
      </c>
      <c r="BM12" s="54">
        <v>503021.49484</v>
      </c>
      <c r="BN12" s="54">
        <v>535000.63416999998</v>
      </c>
      <c r="BO12" s="54">
        <v>535492.66917999997</v>
      </c>
      <c r="BP12" s="54">
        <v>449734.87079999998</v>
      </c>
      <c r="BQ12" s="54">
        <v>459493.29152999999</v>
      </c>
      <c r="BR12" s="54">
        <v>476153.10371</v>
      </c>
      <c r="BS12" s="54">
        <v>496312.93964</v>
      </c>
      <c r="BT12" s="54">
        <v>513062.18292999995</v>
      </c>
      <c r="BU12" s="54">
        <v>529515.24488000001</v>
      </c>
      <c r="BV12" s="54">
        <v>466603.26483</v>
      </c>
      <c r="BW12" s="54">
        <v>435443.05454999994</v>
      </c>
      <c r="BX12" s="54">
        <v>389830.81637000002</v>
      </c>
      <c r="BY12" s="54">
        <v>406540.08568999998</v>
      </c>
      <c r="BZ12" s="54">
        <v>368707.42454999994</v>
      </c>
      <c r="CA12" s="54">
        <v>354655.49539999996</v>
      </c>
      <c r="CB12" s="54">
        <v>380488.87981000001</v>
      </c>
      <c r="CC12" s="54">
        <v>375882.32060999994</v>
      </c>
      <c r="CD12" s="54">
        <v>342252.91260999994</v>
      </c>
      <c r="CE12" s="54">
        <v>323785.21476</v>
      </c>
      <c r="CF12" s="54">
        <v>220474.22445000001</v>
      </c>
      <c r="CG12" s="54">
        <v>297796.68116999994</v>
      </c>
      <c r="CH12" s="54">
        <v>372773.12770000001</v>
      </c>
      <c r="CI12" s="54">
        <v>291214.01898999995</v>
      </c>
      <c r="CJ12" s="55">
        <v>295420.70744999999</v>
      </c>
      <c r="CK12" s="55">
        <v>349802.96291999996</v>
      </c>
      <c r="CL12" s="55">
        <v>355240.27038</v>
      </c>
      <c r="CM12" s="55">
        <v>375238.07506</v>
      </c>
      <c r="CN12" s="55">
        <v>318849.53978999995</v>
      </c>
      <c r="CO12" s="55">
        <v>324401.98475999996</v>
      </c>
      <c r="CP12" s="55">
        <v>341248.32103999995</v>
      </c>
      <c r="CQ12" s="55">
        <v>409742.92074999999</v>
      </c>
      <c r="CR12" s="54">
        <v>364778.96336200001</v>
      </c>
      <c r="CS12" s="54">
        <v>394686.76133000001</v>
      </c>
      <c r="CT12" s="54">
        <v>374141.75066000002</v>
      </c>
      <c r="CU12" s="54">
        <v>400472.19186999998</v>
      </c>
      <c r="CV12" s="54">
        <v>426270.74610000005</v>
      </c>
      <c r="CW12" s="54">
        <v>439057.46064999996</v>
      </c>
      <c r="CX12" s="54">
        <v>410025.96547000005</v>
      </c>
      <c r="CY12" s="54">
        <f>436915785.19/1000</f>
        <v>436915.78519000002</v>
      </c>
      <c r="CZ12" s="54">
        <f>469479994.96/1000</f>
        <v>469479.99495999998</v>
      </c>
      <c r="DA12" s="54">
        <f>467046665.09/1000</f>
        <v>467046.66508999997</v>
      </c>
      <c r="DB12" s="54">
        <v>368707.35384</v>
      </c>
      <c r="DC12" s="54">
        <f>388440590.79/1000</f>
        <v>388440.59079000005</v>
      </c>
      <c r="DD12" s="54">
        <f>406988976.36/1000</f>
        <v>406988.97636000003</v>
      </c>
      <c r="DE12" s="54">
        <f>553134928.23/1000</f>
        <v>553134.92822999996</v>
      </c>
      <c r="DF12" s="54">
        <v>445155.69293000002</v>
      </c>
      <c r="DG12" s="54">
        <f>376186029.34/1000</f>
        <v>376186.02933999995</v>
      </c>
    </row>
    <row r="13" spans="2:111" x14ac:dyDescent="0.3">
      <c r="B13" s="67" t="s">
        <v>24</v>
      </c>
      <c r="C13" s="69" t="s">
        <v>25</v>
      </c>
      <c r="D13" s="53">
        <v>550720.20340999996</v>
      </c>
      <c r="E13" s="53">
        <v>553326.11474999995</v>
      </c>
      <c r="F13" s="53">
        <v>543309.23707000003</v>
      </c>
      <c r="G13" s="53">
        <v>547201.95973999996</v>
      </c>
      <c r="H13" s="53">
        <v>568538.88288000005</v>
      </c>
      <c r="I13" s="53">
        <v>544807.60732000007</v>
      </c>
      <c r="J13" s="53">
        <v>545646.05109000008</v>
      </c>
      <c r="K13" s="53">
        <v>546663.87086000002</v>
      </c>
      <c r="L13" s="53">
        <v>547884.67949000001</v>
      </c>
      <c r="M13" s="53">
        <v>548913.74315999995</v>
      </c>
      <c r="N13" s="53">
        <v>550044.54960999999</v>
      </c>
      <c r="O13" s="53">
        <v>585288.81816999998</v>
      </c>
      <c r="P13" s="53">
        <v>586251.40966</v>
      </c>
      <c r="Q13" s="53">
        <v>565093.54545000009</v>
      </c>
      <c r="R13" s="53">
        <v>546197.03229999996</v>
      </c>
      <c r="S13" s="53">
        <v>547306.88320000004</v>
      </c>
      <c r="T13" s="53">
        <v>594117.19726000004</v>
      </c>
      <c r="U13" s="53">
        <v>610772.89928999997</v>
      </c>
      <c r="V13" s="53">
        <v>611742.04911999998</v>
      </c>
      <c r="W13" s="53">
        <v>570730.99398000003</v>
      </c>
      <c r="X13" s="53">
        <v>530770.80404000008</v>
      </c>
      <c r="Y13" s="53">
        <v>566880.69244000001</v>
      </c>
      <c r="Z13" s="53">
        <v>676116.24284000008</v>
      </c>
      <c r="AA13" s="53">
        <v>677803.53738999995</v>
      </c>
      <c r="AB13" s="53">
        <v>717319.21160000004</v>
      </c>
      <c r="AC13" s="53">
        <v>719207.13491000002</v>
      </c>
      <c r="AD13" s="53">
        <v>774368.52885999996</v>
      </c>
      <c r="AE13" s="53">
        <v>793447.48626999999</v>
      </c>
      <c r="AF13" s="53">
        <v>781803.13405999995</v>
      </c>
      <c r="AG13" s="53">
        <v>788036.95713999995</v>
      </c>
      <c r="AH13" s="53">
        <v>791774.29459000006</v>
      </c>
      <c r="AI13" s="53">
        <v>834965.95144000009</v>
      </c>
      <c r="AJ13" s="53">
        <v>834184.06357</v>
      </c>
      <c r="AK13" s="53">
        <v>894754.50977</v>
      </c>
      <c r="AL13" s="53">
        <v>894572.16312000004</v>
      </c>
      <c r="AM13" s="53">
        <v>865260.13364000001</v>
      </c>
      <c r="AN13" s="53">
        <v>950503.74511000002</v>
      </c>
      <c r="AO13" s="53">
        <v>950474.42520000006</v>
      </c>
      <c r="AP13" s="53">
        <v>901314.35104999994</v>
      </c>
      <c r="AQ13" s="53">
        <v>877785.58854999999</v>
      </c>
      <c r="AR13" s="53">
        <v>896652.84236000001</v>
      </c>
      <c r="AS13" s="53">
        <v>862041.35265999998</v>
      </c>
      <c r="AT13" s="53">
        <v>827506.28520000004</v>
      </c>
      <c r="AU13" s="53">
        <v>801052.67521999998</v>
      </c>
      <c r="AV13" s="53">
        <v>797088.49936999998</v>
      </c>
      <c r="AW13" s="53">
        <v>759955.62233000004</v>
      </c>
      <c r="AX13" s="53">
        <v>756949.18538000004</v>
      </c>
      <c r="AY13" s="53">
        <v>757902.54842000001</v>
      </c>
      <c r="AZ13" s="53">
        <v>764899.95952999999</v>
      </c>
      <c r="BA13" s="53">
        <v>762776.43986000004</v>
      </c>
      <c r="BB13" s="53">
        <v>762553.55697999999</v>
      </c>
      <c r="BC13" s="53">
        <v>763036.90813</v>
      </c>
      <c r="BD13" s="53">
        <v>814080.89353999996</v>
      </c>
      <c r="BE13" s="53">
        <v>821710.98361</v>
      </c>
      <c r="BF13" s="53">
        <v>822111.80964999995</v>
      </c>
      <c r="BG13" s="53">
        <v>819583.51170000003</v>
      </c>
      <c r="BH13" s="53">
        <v>881368.98638999998</v>
      </c>
      <c r="BI13" s="53">
        <v>882454.87722999998</v>
      </c>
      <c r="BJ13" s="53">
        <v>888917.21273000003</v>
      </c>
      <c r="BK13" s="53">
        <v>1006741.148</v>
      </c>
      <c r="BL13" s="53">
        <v>1023123.34791</v>
      </c>
      <c r="BM13" s="54">
        <v>906057.27969000011</v>
      </c>
      <c r="BN13" s="54">
        <v>906448.21269000007</v>
      </c>
      <c r="BO13" s="54">
        <v>923029.34898000001</v>
      </c>
      <c r="BP13" s="54">
        <v>1025784.9179400001</v>
      </c>
      <c r="BQ13" s="54">
        <v>1032919.35158</v>
      </c>
      <c r="BR13" s="54">
        <v>1032929.1063</v>
      </c>
      <c r="BS13" s="54">
        <v>1032124.7835700001</v>
      </c>
      <c r="BT13" s="54">
        <v>1032998.22497</v>
      </c>
      <c r="BU13" s="54">
        <v>1033275.03204</v>
      </c>
      <c r="BV13" s="54">
        <v>1097837.83715</v>
      </c>
      <c r="BW13" s="54">
        <v>1161653.8792699999</v>
      </c>
      <c r="BX13" s="54">
        <v>1225726.77128</v>
      </c>
      <c r="BY13" s="54">
        <v>1225925.1495699999</v>
      </c>
      <c r="BZ13" s="54">
        <v>1283425.49615</v>
      </c>
      <c r="CA13" s="54">
        <v>1315277.5569000002</v>
      </c>
      <c r="CB13" s="54">
        <v>1307569.3617400001</v>
      </c>
      <c r="CC13" s="54">
        <v>1329922.4157</v>
      </c>
      <c r="CD13" s="54">
        <v>1381351.26988</v>
      </c>
      <c r="CE13" s="54">
        <v>1418177.5518699999</v>
      </c>
      <c r="CF13" s="54">
        <v>1541245.8051400001</v>
      </c>
      <c r="CG13" s="54">
        <v>1482811.1966900001</v>
      </c>
      <c r="CH13" s="54">
        <v>1426104.6087400001</v>
      </c>
      <c r="CI13" s="54">
        <v>1528378.0422400001</v>
      </c>
      <c r="CJ13" s="55">
        <v>1529801.26905</v>
      </c>
      <c r="CK13" s="55">
        <v>1510936.9513699999</v>
      </c>
      <c r="CL13" s="55">
        <v>1527164.5816500001</v>
      </c>
      <c r="CM13" s="55">
        <v>1510850.7315</v>
      </c>
      <c r="CN13" s="55">
        <v>1569217.7620899999</v>
      </c>
      <c r="CO13" s="55">
        <v>1565864.30782</v>
      </c>
      <c r="CP13" s="55">
        <v>1618971.8358499999</v>
      </c>
      <c r="CQ13" s="55">
        <v>1571110.58479</v>
      </c>
      <c r="CR13" s="54">
        <v>1635276.29421</v>
      </c>
      <c r="CS13" s="54">
        <v>1625081.0957799999</v>
      </c>
      <c r="CT13" s="54">
        <v>1665345.6938</v>
      </c>
      <c r="CU13" s="54">
        <v>1664631.65613</v>
      </c>
      <c r="CV13" s="54">
        <v>1645364.5105999999</v>
      </c>
      <c r="CW13" s="54">
        <v>1634933.2448800001</v>
      </c>
      <c r="CX13" s="54">
        <v>1669670.35405</v>
      </c>
      <c r="CY13" s="54">
        <f>1695085621.98/1000</f>
        <v>1695085.6219800001</v>
      </c>
      <c r="CZ13" s="54">
        <f>1700755442.85/1000</f>
        <v>1700755.44285</v>
      </c>
      <c r="DA13" s="54">
        <f>1724312134.28/1000</f>
        <v>1724312.1342799999</v>
      </c>
      <c r="DB13" s="54">
        <v>1828111.7251800001</v>
      </c>
      <c r="DC13" s="54">
        <f>1851529430.53/1000</f>
        <v>1851529.43053</v>
      </c>
      <c r="DD13" s="54">
        <f>1855106940.83/1000</f>
        <v>1855106.94083</v>
      </c>
      <c r="DE13" s="54">
        <f>1718309405.82/1000</f>
        <v>1718309.40582</v>
      </c>
      <c r="DF13" s="54">
        <v>1867899.7801099999</v>
      </c>
      <c r="DG13" s="54">
        <f>1963102970.53/1000</f>
        <v>1963102.97053</v>
      </c>
    </row>
    <row r="14" spans="2:111" x14ac:dyDescent="0.3">
      <c r="B14" s="67" t="s">
        <v>26</v>
      </c>
      <c r="C14" s="69" t="s">
        <v>27</v>
      </c>
      <c r="D14" s="53">
        <v>3447.6309799999999</v>
      </c>
      <c r="E14" s="53">
        <v>2472.62435</v>
      </c>
      <c r="F14" s="53">
        <v>58918.923109999996</v>
      </c>
      <c r="G14" s="53">
        <v>56237.526039999997</v>
      </c>
      <c r="H14" s="53">
        <v>55958.431729999997</v>
      </c>
      <c r="I14" s="53">
        <v>56136.348530000003</v>
      </c>
      <c r="J14" s="53">
        <v>56384.733350000002</v>
      </c>
      <c r="K14" s="53">
        <v>56489.508820000003</v>
      </c>
      <c r="L14" s="53">
        <v>56350.900479999997</v>
      </c>
      <c r="M14" s="53">
        <v>56307.38192</v>
      </c>
      <c r="N14" s="53">
        <v>56360.503549999994</v>
      </c>
      <c r="O14" s="53">
        <v>56735.83064</v>
      </c>
      <c r="P14" s="53">
        <v>57120.284490000005</v>
      </c>
      <c r="Q14" s="53">
        <v>57022.278450000005</v>
      </c>
      <c r="R14" s="53">
        <v>57298.799049999994</v>
      </c>
      <c r="S14" s="53">
        <v>57843.502350000002</v>
      </c>
      <c r="T14" s="53">
        <v>56443.065270000006</v>
      </c>
      <c r="U14" s="53">
        <v>56222.326909999996</v>
      </c>
      <c r="V14" s="53">
        <v>56760.931779999999</v>
      </c>
      <c r="W14" s="53">
        <v>57370.416579999997</v>
      </c>
      <c r="X14" s="53">
        <v>59920.082110000003</v>
      </c>
      <c r="Y14" s="53">
        <v>60647.92136</v>
      </c>
      <c r="Z14" s="53">
        <v>60795.816549999996</v>
      </c>
      <c r="AA14" s="53">
        <v>57535.53153</v>
      </c>
      <c r="AB14" s="53">
        <v>52670.010920000001</v>
      </c>
      <c r="AC14" s="53">
        <v>52343.840100000001</v>
      </c>
      <c r="AD14" s="53">
        <v>46474.592140000001</v>
      </c>
      <c r="AE14" s="53">
        <v>46106.145530000002</v>
      </c>
      <c r="AF14" s="53">
        <v>44699.203110000002</v>
      </c>
      <c r="AG14" s="53">
        <v>45178.542609999997</v>
      </c>
      <c r="AH14" s="53">
        <v>53727.745289999999</v>
      </c>
      <c r="AI14" s="53">
        <v>46000.461219999997</v>
      </c>
      <c r="AJ14" s="53">
        <v>45986.215880000003</v>
      </c>
      <c r="AK14" s="53">
        <v>45493.894039999999</v>
      </c>
      <c r="AL14" s="53">
        <v>45472.592240000005</v>
      </c>
      <c r="AM14" s="53">
        <v>44919.44644</v>
      </c>
      <c r="AN14" s="53">
        <v>44696.24942</v>
      </c>
      <c r="AO14" s="53">
        <v>44447.674570000003</v>
      </c>
      <c r="AP14" s="53">
        <v>44655.156040000002</v>
      </c>
      <c r="AQ14" s="53">
        <v>44252.182030000004</v>
      </c>
      <c r="AR14" s="53">
        <v>44168.977780000001</v>
      </c>
      <c r="AS14" s="53">
        <v>44754.904219999997</v>
      </c>
      <c r="AT14" s="53">
        <v>44246.052729999996</v>
      </c>
      <c r="AU14" s="53">
        <v>44308.578130000002</v>
      </c>
      <c r="AV14" s="53">
        <v>44054.497159999999</v>
      </c>
      <c r="AW14" s="53">
        <v>44690.331450000005</v>
      </c>
      <c r="AX14" s="53">
        <v>45248.535590000007</v>
      </c>
      <c r="AY14" s="53">
        <v>2542.66923</v>
      </c>
      <c r="AZ14" s="53">
        <v>1511.0616100000002</v>
      </c>
      <c r="BA14" s="53">
        <v>1853.9513699999998</v>
      </c>
      <c r="BB14" s="53">
        <v>785.64361999999994</v>
      </c>
      <c r="BC14" s="53">
        <v>1330.9286</v>
      </c>
      <c r="BD14" s="53">
        <v>1894.28909</v>
      </c>
      <c r="BE14" s="53">
        <v>2332.07296</v>
      </c>
      <c r="BF14" s="53">
        <v>1236.12664</v>
      </c>
      <c r="BG14" s="53">
        <v>1534.5804499999999</v>
      </c>
      <c r="BH14" s="53">
        <v>810.77571999999998</v>
      </c>
      <c r="BI14" s="53">
        <v>1257.46937</v>
      </c>
      <c r="BJ14" s="53">
        <v>1545.7655600000001</v>
      </c>
      <c r="BK14" s="53">
        <v>1690.7376999999999</v>
      </c>
      <c r="BL14" s="53">
        <v>2351.0167700000002</v>
      </c>
      <c r="BM14" s="54">
        <v>2877.0906400000003</v>
      </c>
      <c r="BN14" s="54">
        <v>2620.8340800000001</v>
      </c>
      <c r="BO14" s="54">
        <v>2791.5622599999997</v>
      </c>
      <c r="BP14" s="54">
        <v>3136.55512</v>
      </c>
      <c r="BQ14" s="54">
        <v>3428.1451699999998</v>
      </c>
      <c r="BR14" s="54">
        <v>3966.7760400000002</v>
      </c>
      <c r="BS14" s="54">
        <v>3785.8618199999996</v>
      </c>
      <c r="BT14" s="54">
        <v>3441.6577699999957</v>
      </c>
      <c r="BU14" s="54">
        <v>4134.9931800000004</v>
      </c>
      <c r="BV14" s="54">
        <v>4819.6784100000004</v>
      </c>
      <c r="BW14" s="54">
        <v>4648.5263099999993</v>
      </c>
      <c r="BX14" s="54">
        <v>4276.4338899999993</v>
      </c>
      <c r="BY14" s="54">
        <v>5199.3418200000006</v>
      </c>
      <c r="BZ14" s="54">
        <v>3802.2510600000001</v>
      </c>
      <c r="CA14" s="54">
        <v>4642.4385599999996</v>
      </c>
      <c r="CB14" s="54">
        <v>5491.1743399999996</v>
      </c>
      <c r="CC14" s="54">
        <v>6416.6994999999997</v>
      </c>
      <c r="CD14" s="54">
        <v>7696.9476100000002</v>
      </c>
      <c r="CE14" s="54">
        <v>8437.3232599999992</v>
      </c>
      <c r="CF14" s="54">
        <v>7887.1322</v>
      </c>
      <c r="CG14" s="54">
        <v>8258.63681</v>
      </c>
      <c r="CH14" s="54">
        <v>9511.5103900000013</v>
      </c>
      <c r="CI14" s="54">
        <v>8420.1913599999989</v>
      </c>
      <c r="CJ14" s="55">
        <v>6454.1709199999996</v>
      </c>
      <c r="CK14" s="55">
        <v>7862.4665300000006</v>
      </c>
      <c r="CL14" s="55">
        <v>6853.7585999999992</v>
      </c>
      <c r="CM14" s="55">
        <v>6778.2503000000006</v>
      </c>
      <c r="CN14" s="55">
        <v>8546.4590000000007</v>
      </c>
      <c r="CO14" s="55">
        <v>10008.68982</v>
      </c>
      <c r="CP14" s="55">
        <v>11047.83546</v>
      </c>
      <c r="CQ14" s="55">
        <v>11093.182859999999</v>
      </c>
      <c r="CR14" s="54">
        <v>12730.5</v>
      </c>
      <c r="CS14" s="54">
        <v>14208.159810000001</v>
      </c>
      <c r="CT14" s="54">
        <v>15817.65382</v>
      </c>
      <c r="CU14" s="54">
        <v>11716.852859999999</v>
      </c>
      <c r="CV14" s="54">
        <v>8821.72552</v>
      </c>
      <c r="CW14" s="54">
        <v>9872.6486200000018</v>
      </c>
      <c r="CX14" s="54">
        <v>7822.6649500000003</v>
      </c>
      <c r="CY14" s="54">
        <f>5930958.91/1000</f>
        <v>5930.9589100000003</v>
      </c>
      <c r="CZ14" s="54">
        <f>8644850.87/1000</f>
        <v>8644.8508699999984</v>
      </c>
      <c r="DA14" s="54">
        <f>11580504.72/1000</f>
        <v>11580.504720000001</v>
      </c>
      <c r="DB14" s="54">
        <v>12131.934529999999</v>
      </c>
      <c r="DC14" s="54">
        <f>14080680.4/1000</f>
        <v>14080.680400000001</v>
      </c>
      <c r="DD14" s="54">
        <f>16955936.43/1000</f>
        <v>16955.936429999998</v>
      </c>
      <c r="DE14" s="54">
        <f>12766223.02/1000</f>
        <v>12766.223019999999</v>
      </c>
      <c r="DF14" s="54">
        <v>15120.31827</v>
      </c>
      <c r="DG14" s="54">
        <f>14298111.58/1000</f>
        <v>14298.111580000001</v>
      </c>
    </row>
    <row r="15" spans="2:111" x14ac:dyDescent="0.3">
      <c r="B15" s="67">
        <v>4</v>
      </c>
      <c r="C15" s="69" t="s">
        <v>57</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v>288.45666999999997</v>
      </c>
      <c r="AW15" s="53">
        <v>452.36613</v>
      </c>
      <c r="AX15" s="53">
        <v>633.47261000000003</v>
      </c>
      <c r="AY15" s="53">
        <v>43540.576789999999</v>
      </c>
      <c r="AZ15" s="53">
        <v>52.222929999999998</v>
      </c>
      <c r="BA15" s="53">
        <v>99.06671</v>
      </c>
      <c r="BB15" s="53">
        <v>149.57882000000001</v>
      </c>
      <c r="BC15" s="53">
        <v>197.99746999999999</v>
      </c>
      <c r="BD15" s="53">
        <v>248.72099</v>
      </c>
      <c r="BE15" s="53">
        <v>300.02537000000001</v>
      </c>
      <c r="BF15" s="53">
        <v>352.66131999999993</v>
      </c>
      <c r="BG15" s="53">
        <v>418.76017999999999</v>
      </c>
      <c r="BH15" s="53">
        <v>469.13006000000001</v>
      </c>
      <c r="BI15" s="53">
        <v>523.39356999999995</v>
      </c>
      <c r="BJ15" s="53">
        <v>576.59265999999991</v>
      </c>
      <c r="BK15" s="53">
        <v>0</v>
      </c>
      <c r="BL15" s="53">
        <v>62.871879999999997</v>
      </c>
      <c r="BM15" s="54">
        <v>121.94135</v>
      </c>
      <c r="BN15" s="54">
        <v>180.52870000000001</v>
      </c>
      <c r="BO15" s="54">
        <v>238.09044</v>
      </c>
      <c r="BP15" s="54">
        <v>313.93776000000003</v>
      </c>
      <c r="BQ15" s="54">
        <v>389.03784999999999</v>
      </c>
      <c r="BR15" s="54">
        <v>455.49653000000001</v>
      </c>
      <c r="BS15" s="54">
        <v>557.43880000000001</v>
      </c>
      <c r="BT15" s="54">
        <v>620.09431999999993</v>
      </c>
      <c r="BU15" s="54">
        <v>684.83375999999998</v>
      </c>
      <c r="BV15" s="54">
        <v>750.78102999999999</v>
      </c>
      <c r="BW15" s="54"/>
      <c r="BX15" s="54">
        <v>81.662019999999998</v>
      </c>
      <c r="BY15" s="54">
        <v>156.45133999999999</v>
      </c>
      <c r="BZ15" s="54">
        <v>245.68347</v>
      </c>
      <c r="CA15" s="54">
        <v>338.07506000000001</v>
      </c>
      <c r="CB15" s="54">
        <v>449.80662000000001</v>
      </c>
      <c r="CC15" s="54">
        <v>545.61593000000005</v>
      </c>
      <c r="CD15" s="54">
        <v>644.27552000000003</v>
      </c>
      <c r="CE15" s="54">
        <v>745.41386</v>
      </c>
      <c r="CF15" s="54">
        <v>886.63692000000003</v>
      </c>
      <c r="CG15" s="54">
        <v>996.29949999999997</v>
      </c>
      <c r="CH15" s="54">
        <v>1105.2365300000001</v>
      </c>
      <c r="CI15" s="54">
        <v>0</v>
      </c>
      <c r="CJ15" s="55">
        <v>121.50532000000001</v>
      </c>
      <c r="CK15" s="55">
        <v>268.71688</v>
      </c>
      <c r="CL15" s="55">
        <v>386.28479999999996</v>
      </c>
      <c r="CM15" s="55">
        <v>514.65135999999995</v>
      </c>
      <c r="CN15" s="55">
        <v>656.10208999999998</v>
      </c>
      <c r="CO15" s="55">
        <v>773.44641999999999</v>
      </c>
      <c r="CP15" s="55">
        <v>901.11829</v>
      </c>
      <c r="CQ15" s="55">
        <v>1023.79513</v>
      </c>
      <c r="CR15" s="54">
        <v>1141.5207600000001</v>
      </c>
      <c r="CS15" s="54">
        <v>1259.8555900000001</v>
      </c>
      <c r="CT15" s="54">
        <v>1376.5915600000001</v>
      </c>
      <c r="CU15" s="54">
        <v>0</v>
      </c>
      <c r="CV15" s="54">
        <v>117.45348</v>
      </c>
      <c r="CW15" s="54">
        <v>245.81193999999999</v>
      </c>
      <c r="CX15" s="54">
        <v>389.64729</v>
      </c>
      <c r="CY15" s="54">
        <f>9924407.79/1000</f>
        <v>9924.4077899999993</v>
      </c>
      <c r="CZ15" s="54">
        <f>11818093.36/1000</f>
        <v>11818.093359999999</v>
      </c>
      <c r="DA15" s="54">
        <f>11982285.01/1000</f>
        <v>11982.28501</v>
      </c>
      <c r="DB15" s="54">
        <v>12139.670310000001</v>
      </c>
      <c r="DC15" s="54">
        <f>12330708.61/1000</f>
        <v>12330.70861</v>
      </c>
      <c r="DD15" s="54">
        <f>12644904.37/1000</f>
        <v>12644.904369999998</v>
      </c>
      <c r="DE15" s="54">
        <f>12857040.89/1000</f>
        <v>12857.04089</v>
      </c>
      <c r="DF15" s="54">
        <v>13000.670300000002</v>
      </c>
      <c r="DG15" s="54">
        <v>0</v>
      </c>
    </row>
    <row r="16" spans="2:111" x14ac:dyDescent="0.3">
      <c r="B16" s="70"/>
      <c r="C16" s="71" t="s">
        <v>63</v>
      </c>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7">
        <f>+AV11+AV15</f>
        <v>1194840.2866400001</v>
      </c>
      <c r="AW16" s="57">
        <f t="shared" ref="AW16:AZ16" si="0">+AW11+AW15</f>
        <v>1210290.8833900001</v>
      </c>
      <c r="AX16" s="57">
        <f t="shared" si="0"/>
        <v>1226210.9106600001</v>
      </c>
      <c r="AY16" s="57">
        <f>+AY11+AY15</f>
        <v>1241340.9692300002</v>
      </c>
      <c r="AZ16" s="57">
        <f t="shared" si="0"/>
        <v>1213494.2839499998</v>
      </c>
      <c r="BA16" s="57">
        <v>1229543.70584</v>
      </c>
      <c r="BB16" s="57">
        <v>1245510.3119199998</v>
      </c>
      <c r="BC16" s="57">
        <v>1262782.4934399999</v>
      </c>
      <c r="BD16" s="57">
        <v>1280186.2335300001</v>
      </c>
      <c r="BE16" s="57">
        <v>1296308.82556</v>
      </c>
      <c r="BF16" s="57">
        <v>1312627.20695</v>
      </c>
      <c r="BG16" s="57">
        <v>1328804.2131500002</v>
      </c>
      <c r="BH16" s="57">
        <v>1343413.2331499998</v>
      </c>
      <c r="BI16" s="57">
        <v>1361187.3122499997</v>
      </c>
      <c r="BJ16" s="57">
        <v>1377382.45245</v>
      </c>
      <c r="BK16" s="57">
        <v>1393225.2643900001</v>
      </c>
      <c r="BL16" s="57">
        <v>1410300.3613200001</v>
      </c>
      <c r="BM16" s="58">
        <v>1412077.8065199999</v>
      </c>
      <c r="BN16" s="58">
        <v>1444250.20964</v>
      </c>
      <c r="BO16" s="58">
        <v>1461551.6708600002</v>
      </c>
      <c r="BP16" s="58">
        <v>1478970.2816199998</v>
      </c>
      <c r="BQ16" s="58">
        <v>1496229.8261300002</v>
      </c>
      <c r="BR16" s="58">
        <v>1513504.4825799998</v>
      </c>
      <c r="BS16" s="58">
        <v>1532781.0238299998</v>
      </c>
      <c r="BT16" s="58">
        <v>1550122.1599900001</v>
      </c>
      <c r="BU16" s="58">
        <v>1567610.1038600001</v>
      </c>
      <c r="BV16" s="58">
        <v>1570011.5614200002</v>
      </c>
      <c r="BW16" s="58">
        <v>1601745.4601299998</v>
      </c>
      <c r="BX16" s="58">
        <v>1619915.6835600003</v>
      </c>
      <c r="BY16" s="58">
        <v>1637821.0284199999</v>
      </c>
      <c r="BZ16" s="58">
        <v>1656180.8552300001</v>
      </c>
      <c r="CA16" s="58">
        <v>1674913.56592</v>
      </c>
      <c r="CB16" s="58">
        <v>1693999.2225099998</v>
      </c>
      <c r="CC16" s="58">
        <v>1712767.05174</v>
      </c>
      <c r="CD16" s="58">
        <v>1731945.4056199999</v>
      </c>
      <c r="CE16" s="58">
        <v>1751145.5037499997</v>
      </c>
      <c r="CF16" s="58">
        <v>1770493.7987100002</v>
      </c>
      <c r="CG16" s="58">
        <v>1789862.8141700001</v>
      </c>
      <c r="CH16" s="58">
        <v>1809494.4833600002</v>
      </c>
      <c r="CI16" s="58">
        <v>1828012.2525899999</v>
      </c>
      <c r="CJ16" s="59">
        <v>1831797.65274</v>
      </c>
      <c r="CK16" s="59">
        <v>1868871.0977</v>
      </c>
      <c r="CL16" s="59">
        <v>1889644.89543</v>
      </c>
      <c r="CM16" s="59">
        <v>1893381.7082199997</v>
      </c>
      <c r="CN16" s="59">
        <v>1897269.8629699999</v>
      </c>
      <c r="CO16" s="59">
        <v>1901048.42882</v>
      </c>
      <c r="CP16" s="59">
        <v>1972169.1106399999</v>
      </c>
      <c r="CQ16" s="59">
        <v>1992970.4835300001</v>
      </c>
      <c r="CR16" s="59">
        <v>2013927.2783320001</v>
      </c>
      <c r="CS16" s="58">
        <v>2035235.8725099997</v>
      </c>
      <c r="CT16" s="58">
        <v>2056681.6898399999</v>
      </c>
      <c r="CU16" s="58">
        <v>2076820.70086</v>
      </c>
      <c r="CV16" s="58">
        <v>2080574.4356999998</v>
      </c>
      <c r="CW16" s="58">
        <v>2084109.1660900002</v>
      </c>
      <c r="CX16" s="58">
        <v>2087908.63176</v>
      </c>
      <c r="CY16" s="58">
        <f>2147856773.87/1000</f>
        <v>2147856.7738699997</v>
      </c>
      <c r="CZ16" s="58">
        <f>2190698382.04/1000</f>
        <v>2190698.3820400001</v>
      </c>
      <c r="DA16" s="58">
        <f>2214921589.1/1000</f>
        <v>2214921.5891</v>
      </c>
      <c r="DB16" s="58">
        <v>2221090.6838600002</v>
      </c>
      <c r="DC16" s="58">
        <f>2266381410.33/1000</f>
        <v>2266381.4103299999</v>
      </c>
      <c r="DD16" s="58">
        <f>2291696757.99/1000</f>
        <v>2291696.7579899998</v>
      </c>
      <c r="DE16" s="58">
        <f>2297067597.96/1000</f>
        <v>2297067.5979599999</v>
      </c>
      <c r="DF16" s="58">
        <v>2341176.4616100001</v>
      </c>
      <c r="DG16" s="58">
        <f>2353587111.45/1000</f>
        <v>2353587.1114499997</v>
      </c>
    </row>
    <row r="17" spans="2:111" x14ac:dyDescent="0.3">
      <c r="B17" s="67"/>
      <c r="C17" s="68"/>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v>0</v>
      </c>
      <c r="AX17" s="53">
        <v>0</v>
      </c>
      <c r="AY17" s="53">
        <v>0</v>
      </c>
      <c r="AZ17" s="53">
        <v>0</v>
      </c>
      <c r="BA17" s="53">
        <v>0</v>
      </c>
      <c r="BB17" s="53">
        <v>0</v>
      </c>
      <c r="BC17" s="53">
        <v>0</v>
      </c>
      <c r="BD17" s="53">
        <v>0</v>
      </c>
      <c r="BE17" s="53">
        <v>0</v>
      </c>
      <c r="BF17" s="53">
        <v>0</v>
      </c>
      <c r="BG17" s="53">
        <v>0</v>
      </c>
      <c r="BH17" s="53">
        <v>0</v>
      </c>
      <c r="BI17" s="53">
        <v>0</v>
      </c>
      <c r="BJ17" s="53">
        <v>0</v>
      </c>
      <c r="BK17" s="53">
        <v>0</v>
      </c>
      <c r="BL17" s="53">
        <v>0</v>
      </c>
      <c r="BM17" s="52">
        <v>0</v>
      </c>
      <c r="BN17" s="52"/>
      <c r="BO17" s="52"/>
      <c r="BP17" s="52">
        <v>0</v>
      </c>
      <c r="BQ17" s="52">
        <v>0</v>
      </c>
      <c r="BR17" s="52">
        <v>0</v>
      </c>
      <c r="BS17" s="52">
        <v>0</v>
      </c>
      <c r="BT17" s="52"/>
      <c r="BU17" s="52"/>
      <c r="BV17" s="52"/>
      <c r="BW17" s="52"/>
      <c r="BX17" s="52"/>
      <c r="BY17" s="52">
        <v>0</v>
      </c>
      <c r="BZ17" s="52">
        <v>0</v>
      </c>
      <c r="CA17" s="52">
        <v>0</v>
      </c>
      <c r="CB17" s="52">
        <v>0</v>
      </c>
      <c r="CC17" s="52">
        <v>0</v>
      </c>
      <c r="CD17" s="52">
        <v>0</v>
      </c>
      <c r="CE17" s="52">
        <v>0</v>
      </c>
      <c r="CF17" s="52"/>
      <c r="CG17" s="52"/>
      <c r="CH17" s="52"/>
      <c r="CI17" s="52"/>
      <c r="CJ17" s="52">
        <v>0</v>
      </c>
      <c r="CK17" s="52"/>
      <c r="CL17" s="52"/>
      <c r="CM17" s="52">
        <v>0</v>
      </c>
      <c r="CN17" s="52"/>
      <c r="CO17" s="52"/>
      <c r="CP17" s="52">
        <v>0</v>
      </c>
      <c r="CQ17" s="52">
        <v>0</v>
      </c>
      <c r="CR17" s="52"/>
      <c r="CS17" s="51"/>
      <c r="CT17" s="51"/>
      <c r="CU17" s="51"/>
      <c r="CV17" s="51"/>
      <c r="CW17" s="51"/>
      <c r="CX17" s="51"/>
      <c r="CY17" s="51"/>
      <c r="CZ17" s="51"/>
      <c r="DA17" s="51"/>
      <c r="DB17" s="51"/>
      <c r="DC17" s="51"/>
      <c r="DD17" s="51"/>
      <c r="DE17" s="51"/>
      <c r="DF17" s="51"/>
      <c r="DG17" s="51"/>
    </row>
    <row r="18" spans="2:111" s="27" customFormat="1" x14ac:dyDescent="0.3">
      <c r="B18" s="72">
        <v>2</v>
      </c>
      <c r="C18" s="73" t="s">
        <v>28</v>
      </c>
      <c r="D18" s="60">
        <v>7.7521199999999997</v>
      </c>
      <c r="E18" s="60">
        <v>6.02407</v>
      </c>
      <c r="F18" s="60">
        <v>13.40179</v>
      </c>
      <c r="G18" s="60">
        <v>13.779879999999999</v>
      </c>
      <c r="H18" s="60">
        <v>12.8058</v>
      </c>
      <c r="I18" s="60">
        <v>12.228399999999999</v>
      </c>
      <c r="J18" s="60">
        <v>68250.706540000014</v>
      </c>
      <c r="K18" s="60">
        <v>69892.042879999994</v>
      </c>
      <c r="L18" s="60">
        <v>71573.321159999992</v>
      </c>
      <c r="M18" s="60">
        <v>73308.317810000008</v>
      </c>
      <c r="N18" s="60">
        <v>73886.83524</v>
      </c>
      <c r="O18" s="60">
        <v>74462.257830000002</v>
      </c>
      <c r="P18" s="60">
        <v>75062.699540000001</v>
      </c>
      <c r="Q18" s="60">
        <v>75590.381900000008</v>
      </c>
      <c r="R18" s="60">
        <v>110.5861</v>
      </c>
      <c r="S18" s="60">
        <v>97.372969999999995</v>
      </c>
      <c r="T18" s="60">
        <v>98.739249999999998</v>
      </c>
      <c r="U18" s="60">
        <v>112.98889</v>
      </c>
      <c r="V18" s="60">
        <v>15.077789999999998</v>
      </c>
      <c r="W18" s="60">
        <v>14.82864</v>
      </c>
      <c r="X18" s="60">
        <v>13.68582</v>
      </c>
      <c r="Y18" s="60">
        <v>34.783299999999997</v>
      </c>
      <c r="Z18" s="60">
        <v>45.220459999999996</v>
      </c>
      <c r="AA18" s="60">
        <v>35.247459999999997</v>
      </c>
      <c r="AB18" s="60">
        <v>5014.8201200000003</v>
      </c>
      <c r="AC18" s="60">
        <v>5014.0560099999993</v>
      </c>
      <c r="AD18" s="60">
        <v>15.572119999999998</v>
      </c>
      <c r="AE18" s="60">
        <v>15.718819999999999</v>
      </c>
      <c r="AF18" s="60">
        <v>16.385300000000004</v>
      </c>
      <c r="AG18" s="60">
        <v>39.52355</v>
      </c>
      <c r="AH18" s="60">
        <v>14.658100000000001</v>
      </c>
      <c r="AI18" s="60">
        <v>15.017520000000001</v>
      </c>
      <c r="AJ18" s="60">
        <v>14.928510000000001</v>
      </c>
      <c r="AK18" s="60">
        <v>15.06142</v>
      </c>
      <c r="AL18" s="60">
        <v>12.99868</v>
      </c>
      <c r="AM18" s="60">
        <v>16.890730000000005</v>
      </c>
      <c r="AN18" s="60">
        <v>15.203430000000001</v>
      </c>
      <c r="AO18" s="60">
        <v>14.655010000000001</v>
      </c>
      <c r="AP18" s="60">
        <v>15.50967</v>
      </c>
      <c r="AQ18" s="60">
        <v>14.53758</v>
      </c>
      <c r="AR18" s="60">
        <v>27.772190000000002</v>
      </c>
      <c r="AS18" s="60">
        <v>13.023239999999999</v>
      </c>
      <c r="AT18" s="60">
        <v>25.39958</v>
      </c>
      <c r="AU18" s="60">
        <v>12.830879999999999</v>
      </c>
      <c r="AV18" s="60">
        <v>288.45690999999999</v>
      </c>
      <c r="AW18" s="60">
        <v>430.23361999999997</v>
      </c>
      <c r="AX18" s="60">
        <v>576.27703000000008</v>
      </c>
      <c r="AY18" s="60">
        <v>718.69619999999998</v>
      </c>
      <c r="AZ18" s="60">
        <v>479.84138999999999</v>
      </c>
      <c r="BA18" s="60">
        <v>345.65156999999999</v>
      </c>
      <c r="BB18" s="60">
        <v>197.91374999999999</v>
      </c>
      <c r="BC18" s="60">
        <v>1619.2226699999999</v>
      </c>
      <c r="BD18" s="60">
        <v>1636.34609</v>
      </c>
      <c r="BE18" s="60">
        <v>1648.42156</v>
      </c>
      <c r="BF18" s="60">
        <v>1547.4877799999999</v>
      </c>
      <c r="BG18" s="60">
        <v>1137.6646899999998</v>
      </c>
      <c r="BH18" s="60">
        <v>1125.3059699999999</v>
      </c>
      <c r="BI18" s="60">
        <v>1165.2583300000001</v>
      </c>
      <c r="BJ18" s="60">
        <v>1200.9729299999999</v>
      </c>
      <c r="BK18" s="60">
        <v>1243.7584899999999</v>
      </c>
      <c r="BL18" s="60">
        <v>1233.3545800000002</v>
      </c>
      <c r="BM18" s="52">
        <v>1185.1203400000002</v>
      </c>
      <c r="BN18" s="52">
        <v>1147.70066</v>
      </c>
      <c r="BO18" s="52">
        <v>1181.6538400000002</v>
      </c>
      <c r="BP18" s="52">
        <v>1203.6864699999999</v>
      </c>
      <c r="BQ18" s="52">
        <v>1242.3423700000001</v>
      </c>
      <c r="BR18" s="52">
        <v>1240.9018000000001</v>
      </c>
      <c r="BS18" s="52">
        <v>1188.17543</v>
      </c>
      <c r="BT18" s="52">
        <v>1204.0176100000001</v>
      </c>
      <c r="BU18" s="52">
        <v>1263.0219</v>
      </c>
      <c r="BV18" s="52">
        <v>1300.20604</v>
      </c>
      <c r="BW18" s="52">
        <v>1232.86268</v>
      </c>
      <c r="BX18" s="52">
        <v>1268.07826</v>
      </c>
      <c r="BY18" s="52">
        <v>1292.3129199999998</v>
      </c>
      <c r="BZ18" s="52">
        <v>1271.81449</v>
      </c>
      <c r="CA18" s="52">
        <v>1327.5010400000001</v>
      </c>
      <c r="CB18" s="52">
        <v>1391.8067100000001</v>
      </c>
      <c r="CC18" s="52">
        <v>1322.7688000000001</v>
      </c>
      <c r="CD18" s="52">
        <v>1444.6949199999999</v>
      </c>
      <c r="CE18" s="52">
        <v>1426.03819</v>
      </c>
      <c r="CF18" s="52">
        <v>1413.7851799999999</v>
      </c>
      <c r="CG18" s="52">
        <v>1115.77782</v>
      </c>
      <c r="CH18" s="52">
        <v>1156.4586000000002</v>
      </c>
      <c r="CI18" s="52">
        <v>1073.8777600000001</v>
      </c>
      <c r="CJ18" s="52">
        <v>1053.3203700000001</v>
      </c>
      <c r="CK18" s="52">
        <v>1002.6991400000001</v>
      </c>
      <c r="CL18" s="52">
        <v>991.83067000000005</v>
      </c>
      <c r="CM18" s="52">
        <v>1017.0301800000001</v>
      </c>
      <c r="CN18" s="52">
        <v>1068.26855</v>
      </c>
      <c r="CO18" s="52">
        <v>1106.6307400000001</v>
      </c>
      <c r="CP18" s="52">
        <v>1162.2261699999999</v>
      </c>
      <c r="CQ18" s="52">
        <v>1108.07026</v>
      </c>
      <c r="CR18" s="52">
        <v>1176.8873100000001</v>
      </c>
      <c r="CS18" s="51">
        <v>1241.44975</v>
      </c>
      <c r="CT18" s="51">
        <v>1204.75468</v>
      </c>
      <c r="CU18" s="51">
        <v>1073.9158799999998</v>
      </c>
      <c r="CV18" s="51">
        <v>996.76373999999998</v>
      </c>
      <c r="CW18" s="51">
        <v>1023.16977</v>
      </c>
      <c r="CX18" s="51">
        <v>988.39738999999997</v>
      </c>
      <c r="CY18" s="51">
        <f>1146339.44/1000</f>
        <v>1146.33944</v>
      </c>
      <c r="CZ18" s="51">
        <f>999995.88/1000</f>
        <v>999.99588000000006</v>
      </c>
      <c r="DA18" s="51">
        <f>925564.52/1000</f>
        <v>925.56452000000002</v>
      </c>
      <c r="DB18" s="51">
        <v>970.53246999999999</v>
      </c>
      <c r="DC18" s="51">
        <f>1018676.43/1000</f>
        <v>1018.6764300000001</v>
      </c>
      <c r="DD18" s="51">
        <f>1125989.46/1000</f>
        <v>1125.98946</v>
      </c>
      <c r="DE18" s="51">
        <f>1061437.52/1000</f>
        <v>1061.4375199999999</v>
      </c>
      <c r="DF18" s="51">
        <v>1094.7135499999999</v>
      </c>
      <c r="DG18" s="51">
        <f>1072312.01/1000</f>
        <v>1072.3120100000001</v>
      </c>
    </row>
    <row r="19" spans="2:111" s="27" customFormat="1" x14ac:dyDescent="0.3">
      <c r="B19" s="72" t="s">
        <v>29</v>
      </c>
      <c r="C19" s="74" t="s">
        <v>33</v>
      </c>
      <c r="D19" s="61">
        <v>7.7521199999999997</v>
      </c>
      <c r="E19" s="61">
        <v>6.02407</v>
      </c>
      <c r="F19" s="61">
        <v>13.40179</v>
      </c>
      <c r="G19" s="61">
        <v>13.779879999999999</v>
      </c>
      <c r="H19" s="61">
        <v>12.8058</v>
      </c>
      <c r="I19" s="61">
        <v>12.228399999999999</v>
      </c>
      <c r="J19" s="61">
        <v>0</v>
      </c>
      <c r="K19" s="61">
        <v>69892.042879999994</v>
      </c>
      <c r="L19" s="61">
        <v>0</v>
      </c>
      <c r="M19" s="61">
        <v>0</v>
      </c>
      <c r="N19" s="61">
        <v>0</v>
      </c>
      <c r="O19" s="61">
        <v>74462.257830000002</v>
      </c>
      <c r="P19" s="61">
        <v>75062.699540000001</v>
      </c>
      <c r="Q19" s="61">
        <v>75590.381900000008</v>
      </c>
      <c r="R19" s="61">
        <v>110.58586</v>
      </c>
      <c r="S19" s="61">
        <v>97.37272999999999</v>
      </c>
      <c r="T19" s="61">
        <v>98.739009999999993</v>
      </c>
      <c r="U19" s="61">
        <v>112.98864999999999</v>
      </c>
      <c r="V19" s="61">
        <v>15.077549999999999</v>
      </c>
      <c r="W19" s="61">
        <v>14.8284</v>
      </c>
      <c r="X19" s="61">
        <v>13.68558</v>
      </c>
      <c r="Y19" s="61">
        <v>34.783059999999999</v>
      </c>
      <c r="Z19" s="61">
        <v>45.220219999999998</v>
      </c>
      <c r="AA19" s="61">
        <v>35.247219999999999</v>
      </c>
      <c r="AB19" s="61">
        <v>14.819879999999999</v>
      </c>
      <c r="AC19" s="61">
        <v>14.055770000000001</v>
      </c>
      <c r="AD19" s="61">
        <v>15.571879999999998</v>
      </c>
      <c r="AE19" s="61">
        <v>15.718579999999999</v>
      </c>
      <c r="AF19" s="61">
        <v>16.385060000000003</v>
      </c>
      <c r="AG19" s="61">
        <v>15.63128</v>
      </c>
      <c r="AH19" s="61">
        <v>14.657860000000001</v>
      </c>
      <c r="AI19" s="61">
        <v>15.017280000000001</v>
      </c>
      <c r="AJ19" s="61">
        <v>14.928270000000001</v>
      </c>
      <c r="AK19" s="61">
        <v>15.06118</v>
      </c>
      <c r="AL19" s="61">
        <v>12.99844</v>
      </c>
      <c r="AM19" s="61">
        <v>16.890490000000003</v>
      </c>
      <c r="AN19" s="61">
        <v>15.203190000000001</v>
      </c>
      <c r="AO19" s="61">
        <v>14.654770000000001</v>
      </c>
      <c r="AP19" s="61">
        <v>15.50943</v>
      </c>
      <c r="AQ19" s="61">
        <v>14.53734</v>
      </c>
      <c r="AR19" s="61">
        <v>27.77195</v>
      </c>
      <c r="AS19" s="61">
        <v>13.023</v>
      </c>
      <c r="AT19" s="61">
        <v>25.399339999999999</v>
      </c>
      <c r="AU19" s="61">
        <v>12.830639999999999</v>
      </c>
      <c r="AV19" s="61">
        <v>288.45666999999997</v>
      </c>
      <c r="AW19" s="61">
        <v>430.23338000000001</v>
      </c>
      <c r="AX19" s="61">
        <v>576.27703000000008</v>
      </c>
      <c r="AY19" s="61">
        <v>718.69619999999998</v>
      </c>
      <c r="AZ19" s="61">
        <v>479.84138999999999</v>
      </c>
      <c r="BA19" s="61">
        <v>345.65156999999999</v>
      </c>
      <c r="BB19" s="61">
        <v>197.91374999999999</v>
      </c>
      <c r="BC19" s="61">
        <v>1619.2226699999999</v>
      </c>
      <c r="BD19" s="61">
        <v>1636.34609</v>
      </c>
      <c r="BE19" s="61">
        <v>1648.42156</v>
      </c>
      <c r="BF19" s="61">
        <v>1547.4877799999999</v>
      </c>
      <c r="BG19" s="61">
        <v>1137.6646899999998</v>
      </c>
      <c r="BH19" s="61">
        <v>1125.3059699999999</v>
      </c>
      <c r="BI19" s="61">
        <v>1165.2583300000001</v>
      </c>
      <c r="BJ19" s="61">
        <v>1200.9729299999999</v>
      </c>
      <c r="BK19" s="61">
        <v>1243.7584899999999</v>
      </c>
      <c r="BL19" s="61">
        <v>1233.3545800000002</v>
      </c>
      <c r="BM19" s="55">
        <v>1185.1203400000002</v>
      </c>
      <c r="BN19" s="55">
        <v>1147.70066</v>
      </c>
      <c r="BO19" s="55">
        <v>1181.6538400000002</v>
      </c>
      <c r="BP19" s="55">
        <v>1203.6864699999999</v>
      </c>
      <c r="BQ19" s="55">
        <v>1242.3423700000001</v>
      </c>
      <c r="BR19" s="55">
        <v>1240.9018000000001</v>
      </c>
      <c r="BS19" s="55">
        <v>1188.17543</v>
      </c>
      <c r="BT19" s="55">
        <v>1204.0176100000001</v>
      </c>
      <c r="BU19" s="55">
        <v>1263.0219</v>
      </c>
      <c r="BV19" s="55">
        <v>1300.20604</v>
      </c>
      <c r="BW19" s="55">
        <v>1232.86268</v>
      </c>
      <c r="BX19" s="55">
        <v>1268.07826</v>
      </c>
      <c r="BY19" s="55">
        <v>1292.3129199999998</v>
      </c>
      <c r="BZ19" s="55">
        <v>1271.81449</v>
      </c>
      <c r="CA19" s="55">
        <v>1327.5010400000001</v>
      </c>
      <c r="CB19" s="55">
        <v>1391.8067100000001</v>
      </c>
      <c r="CC19" s="55">
        <v>1322.7688000000001</v>
      </c>
      <c r="CD19" s="55">
        <v>1444.6949199999999</v>
      </c>
      <c r="CE19" s="55">
        <v>1426.03819</v>
      </c>
      <c r="CF19" s="55">
        <v>1413.7851799999999</v>
      </c>
      <c r="CG19" s="55">
        <v>1115.77782</v>
      </c>
      <c r="CH19" s="55">
        <v>1156.4586000000002</v>
      </c>
      <c r="CI19" s="55">
        <v>1073.8777600000001</v>
      </c>
      <c r="CJ19" s="55">
        <v>1053.3203700000001</v>
      </c>
      <c r="CK19" s="55">
        <v>1002.6991400000001</v>
      </c>
      <c r="CL19" s="55">
        <v>991.83067000000005</v>
      </c>
      <c r="CM19" s="55">
        <v>1017.0301800000001</v>
      </c>
      <c r="CN19" s="55">
        <v>1068.26855</v>
      </c>
      <c r="CO19" s="55">
        <v>1106.6307400000001</v>
      </c>
      <c r="CP19" s="55">
        <v>1162.2261699999999</v>
      </c>
      <c r="CQ19" s="55">
        <v>1108.07026</v>
      </c>
      <c r="CR19" s="55">
        <v>1176.8873100000001</v>
      </c>
      <c r="CS19" s="54">
        <v>1241.44975</v>
      </c>
      <c r="CT19" s="54">
        <v>1204.75468</v>
      </c>
      <c r="CU19" s="54">
        <v>1073.9158799999998</v>
      </c>
      <c r="CV19" s="54">
        <v>996.76373999999998</v>
      </c>
      <c r="CW19" s="54">
        <v>1023.16977</v>
      </c>
      <c r="CX19" s="54">
        <v>988.39738999999997</v>
      </c>
      <c r="CY19" s="54">
        <f>1146339.44/1000</f>
        <v>1146.33944</v>
      </c>
      <c r="CZ19" s="54">
        <f>999995.88/1000</f>
        <v>999.99588000000006</v>
      </c>
      <c r="DA19" s="54">
        <f>925564.52/1000</f>
        <v>925.56452000000002</v>
      </c>
      <c r="DB19" s="54">
        <v>970.53246999999999</v>
      </c>
      <c r="DC19" s="54">
        <f>1018676.43/1000</f>
        <v>1018.6764300000001</v>
      </c>
      <c r="DD19" s="54">
        <f>1125989.46/1000</f>
        <v>1125.98946</v>
      </c>
      <c r="DE19" s="54">
        <f>1061437.52/1000</f>
        <v>1061.4375199999999</v>
      </c>
      <c r="DF19" s="54">
        <v>1094.7135499999999</v>
      </c>
      <c r="DG19" s="54">
        <f>1072312.01/1000</f>
        <v>1072.3120100000001</v>
      </c>
    </row>
    <row r="20" spans="2:111" s="27" customFormat="1" x14ac:dyDescent="0.3">
      <c r="B20" s="72" t="s">
        <v>30</v>
      </c>
      <c r="C20" s="74" t="s">
        <v>31</v>
      </c>
      <c r="D20" s="61">
        <v>0</v>
      </c>
      <c r="E20" s="61">
        <v>0</v>
      </c>
      <c r="F20" s="61">
        <v>0</v>
      </c>
      <c r="G20" s="61">
        <v>0</v>
      </c>
      <c r="H20" s="61">
        <v>0</v>
      </c>
      <c r="I20" s="61">
        <v>0</v>
      </c>
      <c r="J20" s="61">
        <v>68250.706540000014</v>
      </c>
      <c r="K20" s="61">
        <v>0</v>
      </c>
      <c r="L20" s="61">
        <v>71573.321159999992</v>
      </c>
      <c r="M20" s="61">
        <v>73308.317810000008</v>
      </c>
      <c r="N20" s="61">
        <v>73886.83524</v>
      </c>
      <c r="O20" s="61">
        <v>0</v>
      </c>
      <c r="P20" s="61">
        <v>0</v>
      </c>
      <c r="Q20" s="61">
        <v>0</v>
      </c>
      <c r="R20" s="61">
        <v>2.3999999999999998E-4</v>
      </c>
      <c r="S20" s="61">
        <v>2.3999999999999998E-4</v>
      </c>
      <c r="T20" s="61">
        <v>2.3999999999999998E-4</v>
      </c>
      <c r="U20" s="61">
        <v>2.3999999999999998E-4</v>
      </c>
      <c r="V20" s="61">
        <v>2.3999999999999998E-4</v>
      </c>
      <c r="W20" s="61">
        <v>2.3999999999999998E-4</v>
      </c>
      <c r="X20" s="61">
        <v>2.3999999999999998E-4</v>
      </c>
      <c r="Y20" s="61">
        <v>2.3999999999999998E-4</v>
      </c>
      <c r="Z20" s="61">
        <v>2.3999999999999998E-4</v>
      </c>
      <c r="AA20" s="61">
        <v>2.3999999999999998E-4</v>
      </c>
      <c r="AB20" s="61">
        <v>5000.0002400000003</v>
      </c>
      <c r="AC20" s="61">
        <v>5000.0002400000003</v>
      </c>
      <c r="AD20" s="61">
        <v>2.3999999999999998E-4</v>
      </c>
      <c r="AE20" s="61">
        <v>2.3999999999999998E-4</v>
      </c>
      <c r="AF20" s="61">
        <v>2.3999999999999998E-4</v>
      </c>
      <c r="AG20" s="61">
        <v>23.89227</v>
      </c>
      <c r="AH20" s="61">
        <v>2.3999999999999998E-4</v>
      </c>
      <c r="AI20" s="61">
        <v>2.3999999999999998E-4</v>
      </c>
      <c r="AJ20" s="61">
        <v>2.3999999999999998E-4</v>
      </c>
      <c r="AK20" s="61">
        <v>2.3999999999999998E-4</v>
      </c>
      <c r="AL20" s="61">
        <v>2.3999999999999998E-4</v>
      </c>
      <c r="AM20" s="61">
        <v>2.3999999999999998E-4</v>
      </c>
      <c r="AN20" s="61">
        <v>2.3999999999999998E-4</v>
      </c>
      <c r="AO20" s="61">
        <v>2.3999999999999998E-4</v>
      </c>
      <c r="AP20" s="61">
        <v>2.3999999999999998E-4</v>
      </c>
      <c r="AQ20" s="61">
        <v>2.3999999999999998E-4</v>
      </c>
      <c r="AR20" s="61">
        <v>2.3999999999999998E-4</v>
      </c>
      <c r="AS20" s="61">
        <v>2.3999999999999998E-4</v>
      </c>
      <c r="AT20" s="61">
        <v>2.3999999999999998E-4</v>
      </c>
      <c r="AU20" s="61">
        <v>2.3999999999999998E-4</v>
      </c>
      <c r="AV20" s="61">
        <v>2.3999999999999998E-4</v>
      </c>
      <c r="AW20" s="61">
        <v>2.3999999999999998E-4</v>
      </c>
      <c r="AX20" s="61">
        <v>0</v>
      </c>
      <c r="AY20" s="61">
        <v>0</v>
      </c>
      <c r="AZ20" s="61">
        <v>0</v>
      </c>
      <c r="BA20" s="61">
        <v>0</v>
      </c>
      <c r="BB20" s="61">
        <v>0</v>
      </c>
      <c r="BC20" s="61">
        <v>0</v>
      </c>
      <c r="BD20" s="61">
        <v>0</v>
      </c>
      <c r="BE20" s="61">
        <v>0</v>
      </c>
      <c r="BF20" s="61">
        <v>0</v>
      </c>
      <c r="BG20" s="61">
        <v>0</v>
      </c>
      <c r="BH20" s="61">
        <v>0</v>
      </c>
      <c r="BI20" s="61">
        <v>0</v>
      </c>
      <c r="BJ20" s="61">
        <v>0</v>
      </c>
      <c r="BK20" s="61">
        <v>0</v>
      </c>
      <c r="BL20" s="61">
        <v>0</v>
      </c>
      <c r="BM20" s="55">
        <v>0</v>
      </c>
      <c r="BN20" s="55">
        <v>0</v>
      </c>
      <c r="BO20" s="55">
        <v>0</v>
      </c>
      <c r="BP20" s="55">
        <v>0</v>
      </c>
      <c r="BQ20" s="55">
        <v>0</v>
      </c>
      <c r="BR20" s="55">
        <v>0</v>
      </c>
      <c r="BS20" s="55">
        <v>0</v>
      </c>
      <c r="BT20" s="62" t="s">
        <v>87</v>
      </c>
      <c r="BU20" s="62">
        <v>0</v>
      </c>
      <c r="BV20" s="62">
        <v>0</v>
      </c>
      <c r="BW20" s="62">
        <v>0</v>
      </c>
      <c r="BX20" s="62">
        <v>0</v>
      </c>
      <c r="BY20" s="62">
        <v>0</v>
      </c>
      <c r="BZ20" s="62">
        <v>0</v>
      </c>
      <c r="CA20" s="62">
        <v>0</v>
      </c>
      <c r="CB20" s="62">
        <v>0</v>
      </c>
      <c r="CC20" s="62">
        <v>0</v>
      </c>
      <c r="CD20" s="62">
        <v>0</v>
      </c>
      <c r="CE20" s="62">
        <v>0</v>
      </c>
      <c r="CF20" s="62">
        <v>0</v>
      </c>
      <c r="CG20" s="62">
        <v>0</v>
      </c>
      <c r="CH20" s="62">
        <v>0</v>
      </c>
      <c r="CI20" s="62">
        <v>0</v>
      </c>
      <c r="CJ20" s="62">
        <v>0</v>
      </c>
      <c r="CK20" s="62">
        <v>0</v>
      </c>
      <c r="CL20" s="62">
        <v>0</v>
      </c>
      <c r="CM20" s="62">
        <v>0</v>
      </c>
      <c r="CN20" s="62">
        <v>0</v>
      </c>
      <c r="CO20" s="62">
        <v>0</v>
      </c>
      <c r="CP20" s="62">
        <v>0</v>
      </c>
      <c r="CQ20" s="62">
        <v>0</v>
      </c>
      <c r="CR20" s="62">
        <v>0</v>
      </c>
      <c r="CS20" s="63">
        <v>0</v>
      </c>
      <c r="CT20" s="63">
        <v>0</v>
      </c>
      <c r="CU20" s="63">
        <v>0</v>
      </c>
      <c r="CV20" s="63">
        <v>0</v>
      </c>
      <c r="CW20" s="63">
        <v>0</v>
      </c>
      <c r="CX20" s="63">
        <v>0</v>
      </c>
      <c r="CY20" s="63">
        <v>0</v>
      </c>
      <c r="CZ20" s="63">
        <v>0</v>
      </c>
      <c r="DA20" s="63">
        <v>0</v>
      </c>
      <c r="DB20" s="51">
        <v>0</v>
      </c>
      <c r="DC20" s="51">
        <v>0</v>
      </c>
      <c r="DD20" s="51">
        <v>0</v>
      </c>
      <c r="DE20" s="51">
        <v>0</v>
      </c>
      <c r="DF20" s="51">
        <v>0</v>
      </c>
      <c r="DG20" s="51">
        <v>0</v>
      </c>
    </row>
    <row r="21" spans="2:111" s="27" customFormat="1" x14ac:dyDescent="0.3">
      <c r="B21" s="72">
        <v>5</v>
      </c>
      <c r="C21" s="74" t="s">
        <v>58</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v>3036.386</v>
      </c>
      <c r="AW21" s="61">
        <v>4733.1246100000008</v>
      </c>
      <c r="AX21" s="61">
        <v>6613.1929</v>
      </c>
      <c r="AY21" s="61">
        <v>5092.3099699999993</v>
      </c>
      <c r="AZ21" s="61">
        <v>1657.43049</v>
      </c>
      <c r="BA21" s="61">
        <v>3135.5562999999997</v>
      </c>
      <c r="BB21" s="61">
        <v>4735.4725599999992</v>
      </c>
      <c r="BC21" s="61">
        <v>6266.0903600000001</v>
      </c>
      <c r="BD21" s="61">
        <v>8523.5369300000002</v>
      </c>
      <c r="BE21" s="61">
        <v>10150.322630000001</v>
      </c>
      <c r="BF21" s="61">
        <v>11821.520199999999</v>
      </c>
      <c r="BG21" s="61">
        <v>13739.47392</v>
      </c>
      <c r="BH21" s="61">
        <v>15335.13032</v>
      </c>
      <c r="BI21" s="61">
        <v>17060.577379999999</v>
      </c>
      <c r="BJ21" s="61">
        <v>18762.970380000002</v>
      </c>
      <c r="BK21" s="61">
        <v>0</v>
      </c>
      <c r="BL21" s="61">
        <v>2006.28415</v>
      </c>
      <c r="BM21" s="55">
        <v>3831.9635899999998</v>
      </c>
      <c r="BN21" s="55">
        <v>5679.0392699999993</v>
      </c>
      <c r="BO21" s="55">
        <v>7494.8021600000002</v>
      </c>
      <c r="BP21" s="55">
        <v>9409.9550099999997</v>
      </c>
      <c r="BQ21" s="55">
        <v>11426.93692</v>
      </c>
      <c r="BR21" s="55">
        <v>13522.614509999999</v>
      </c>
      <c r="BS21" s="55">
        <v>17604.255430000001</v>
      </c>
      <c r="BT21" s="55">
        <v>19609.439870000002</v>
      </c>
      <c r="BU21" s="55">
        <v>21684.087399999997</v>
      </c>
      <c r="BV21" s="55">
        <v>24048.360820000002</v>
      </c>
      <c r="BW21" s="55"/>
      <c r="BX21" s="55">
        <v>2617.6371400000003</v>
      </c>
      <c r="BY21" s="55">
        <v>5027.2808600000008</v>
      </c>
      <c r="BZ21" s="55">
        <v>7918.3374199999998</v>
      </c>
      <c r="CA21" s="55">
        <v>10831.18309</v>
      </c>
      <c r="CB21" s="55">
        <v>13872.957689999999</v>
      </c>
      <c r="CC21" s="55">
        <v>16830.659820000001</v>
      </c>
      <c r="CD21" s="55">
        <v>19954.967940000002</v>
      </c>
      <c r="CE21" s="55">
        <v>23230.49022</v>
      </c>
      <c r="CF21" s="55">
        <v>26394.45001</v>
      </c>
      <c r="CG21" s="55">
        <v>29923.96069</v>
      </c>
      <c r="CH21" s="55">
        <v>33392.705329999997</v>
      </c>
      <c r="CI21" s="55">
        <v>0</v>
      </c>
      <c r="CJ21" s="55">
        <v>3805.9575399999999</v>
      </c>
      <c r="CK21" s="55">
        <v>7450.1985700000005</v>
      </c>
      <c r="CL21" s="55">
        <v>11315.68015</v>
      </c>
      <c r="CM21" s="55">
        <v>15027.297570000002</v>
      </c>
      <c r="CN21" s="55">
        <v>18864.213949999998</v>
      </c>
      <c r="CO21" s="55">
        <v>22598.593519999999</v>
      </c>
      <c r="CP21" s="55">
        <v>26439.861539999998</v>
      </c>
      <c r="CQ21" s="55">
        <v>30314.969929999999</v>
      </c>
      <c r="CR21" s="55">
        <v>34099.673149999995</v>
      </c>
      <c r="CS21" s="54">
        <v>37971.418700000002</v>
      </c>
      <c r="CT21" s="54">
        <v>41750.265740000003</v>
      </c>
      <c r="CU21" s="54">
        <v>0</v>
      </c>
      <c r="CV21" s="54">
        <v>3830.8869799999998</v>
      </c>
      <c r="CW21" s="54">
        <v>7339.2113400000007</v>
      </c>
      <c r="CX21" s="54">
        <v>11173.44939</v>
      </c>
      <c r="CY21" s="54">
        <f>15312615.79/1000</f>
        <v>15312.61579</v>
      </c>
      <c r="CZ21" s="54">
        <f>20890918.69/1000</f>
        <v>20890.918690000002</v>
      </c>
      <c r="DA21" s="54">
        <f>26293485.96/1000</f>
        <v>26293.485960000002</v>
      </c>
      <c r="DB21" s="54">
        <v>32275.473760000001</v>
      </c>
      <c r="DC21" s="54">
        <f>39447158.14/1000</f>
        <v>39447.15814</v>
      </c>
      <c r="DD21" s="54">
        <f>45475980.64/1000</f>
        <v>45475.980640000002</v>
      </c>
      <c r="DE21" s="54">
        <f>50911372.55/1000</f>
        <v>50911.37255</v>
      </c>
      <c r="DF21" s="54">
        <v>55759.439530000003</v>
      </c>
      <c r="DG21" s="54">
        <v>0</v>
      </c>
    </row>
    <row r="22" spans="2:111" x14ac:dyDescent="0.3">
      <c r="B22" s="67"/>
      <c r="C22" s="68"/>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2">
        <v>0</v>
      </c>
      <c r="BN22" s="52"/>
      <c r="BO22" s="52"/>
      <c r="BP22" s="52"/>
      <c r="BQ22" s="52">
        <v>0</v>
      </c>
      <c r="BR22" s="52"/>
      <c r="BS22" s="52"/>
      <c r="BT22" s="52"/>
      <c r="BU22" s="52"/>
      <c r="BV22" s="52"/>
      <c r="BW22" s="52"/>
      <c r="BX22" s="52"/>
      <c r="BY22" s="52"/>
      <c r="BZ22" s="52"/>
      <c r="CA22" s="52"/>
      <c r="CB22" s="52"/>
      <c r="CC22" s="52"/>
      <c r="CD22" s="52">
        <v>0</v>
      </c>
      <c r="CE22" s="52">
        <v>0</v>
      </c>
      <c r="CF22" s="52"/>
      <c r="CG22" s="52"/>
      <c r="CH22" s="52"/>
      <c r="CI22" s="52"/>
      <c r="CJ22" s="52"/>
      <c r="CK22" s="52"/>
      <c r="CL22" s="52"/>
      <c r="CM22" s="52"/>
      <c r="CN22" s="52"/>
      <c r="CO22" s="52"/>
      <c r="CP22" s="52"/>
      <c r="CQ22" s="52"/>
      <c r="CR22" s="52"/>
      <c r="CS22" s="52"/>
      <c r="CT22" s="52"/>
      <c r="CU22" s="52"/>
      <c r="CV22" s="52"/>
      <c r="CW22" s="52"/>
      <c r="CX22" s="52"/>
      <c r="CY22" s="52"/>
      <c r="CZ22" s="52"/>
      <c r="DA22" s="52"/>
      <c r="DB22" s="51"/>
      <c r="DC22" s="51"/>
      <c r="DD22" s="51"/>
      <c r="DE22" s="51"/>
      <c r="DF22" s="51"/>
      <c r="DG22" s="51"/>
    </row>
    <row r="23" spans="2:111" x14ac:dyDescent="0.3">
      <c r="B23" s="67">
        <v>3</v>
      </c>
      <c r="C23" s="68" t="s">
        <v>79</v>
      </c>
      <c r="D23" s="50">
        <v>636427.39296000008</v>
      </c>
      <c r="E23" s="50">
        <v>651437.4635800001</v>
      </c>
      <c r="F23" s="50">
        <v>665823.90379999997</v>
      </c>
      <c r="G23" s="50">
        <v>680703.87474</v>
      </c>
      <c r="H23" s="50">
        <v>695167.67573000002</v>
      </c>
      <c r="I23" s="50">
        <v>709798.50873999996</v>
      </c>
      <c r="J23" s="50">
        <v>656226.60291000002</v>
      </c>
      <c r="K23" s="50">
        <v>669350.04471000005</v>
      </c>
      <c r="L23" s="50">
        <v>682547.90467999992</v>
      </c>
      <c r="M23" s="50">
        <v>695863.45725999994</v>
      </c>
      <c r="N23" s="50">
        <v>709272.74294000003</v>
      </c>
      <c r="O23" s="50">
        <v>721287.74194000009</v>
      </c>
      <c r="P23" s="50">
        <v>736667.64346000005</v>
      </c>
      <c r="Q23" s="50">
        <v>753070.34011999995</v>
      </c>
      <c r="R23" s="50">
        <v>767946.32638999994</v>
      </c>
      <c r="S23" s="50">
        <v>783366.58709000004</v>
      </c>
      <c r="T23" s="50">
        <v>796985.0602999999</v>
      </c>
      <c r="U23" s="50">
        <v>798405.67434000003</v>
      </c>
      <c r="V23" s="50">
        <v>799898.35149000003</v>
      </c>
      <c r="W23" s="50">
        <v>841478.08945000009</v>
      </c>
      <c r="X23" s="50">
        <v>842832.95685000008</v>
      </c>
      <c r="Y23" s="50">
        <v>871525.97148000007</v>
      </c>
      <c r="Z23" s="50">
        <v>886742.42700000003</v>
      </c>
      <c r="AA23" s="50">
        <v>902376.56709000003</v>
      </c>
      <c r="AB23" s="50">
        <v>918452.70615999994</v>
      </c>
      <c r="AC23" s="50">
        <v>920000.40287999995</v>
      </c>
      <c r="AD23" s="50">
        <v>950377.26059000008</v>
      </c>
      <c r="AE23" s="50">
        <v>966835.73677999992</v>
      </c>
      <c r="AF23" s="50">
        <v>982862.01114999992</v>
      </c>
      <c r="AG23" s="50">
        <v>998471.15755999996</v>
      </c>
      <c r="AH23" s="50">
        <v>1014016.77933</v>
      </c>
      <c r="AI23" s="50">
        <v>1029421.15478</v>
      </c>
      <c r="AJ23" s="50">
        <v>1044316.50422</v>
      </c>
      <c r="AK23" s="50">
        <v>1059432.28819</v>
      </c>
      <c r="AL23" s="50">
        <v>1074228.9712799999</v>
      </c>
      <c r="AM23" s="50">
        <v>1089147.1566900001</v>
      </c>
      <c r="AN23" s="50">
        <v>1103945.5025299999</v>
      </c>
      <c r="AO23" s="50">
        <v>1118833.04669</v>
      </c>
      <c r="AP23" s="50">
        <v>1133971.13078</v>
      </c>
      <c r="AQ23" s="50">
        <v>1148916.96383</v>
      </c>
      <c r="AR23" s="50">
        <v>1164319.7718499999</v>
      </c>
      <c r="AS23" s="50">
        <v>1179435.98841</v>
      </c>
      <c r="AT23" s="50">
        <v>1194604.8214400001</v>
      </c>
      <c r="AU23" s="50">
        <v>1179519.1615799998</v>
      </c>
      <c r="AV23" s="50">
        <v>1191515.4437299999</v>
      </c>
      <c r="AW23" s="50">
        <v>1205127.52516</v>
      </c>
      <c r="AX23" s="50">
        <v>1219021.4407299999</v>
      </c>
      <c r="AY23" s="50">
        <v>1235529.96306</v>
      </c>
      <c r="AZ23" s="50">
        <v>1211357.0120699999</v>
      </c>
      <c r="BA23" s="50">
        <v>1226062.4979700001</v>
      </c>
      <c r="BB23" s="50">
        <v>1240576.9256099998</v>
      </c>
      <c r="BC23" s="50">
        <v>1254897.1804099998</v>
      </c>
      <c r="BD23" s="50">
        <v>1270026.35051</v>
      </c>
      <c r="BE23" s="50">
        <v>1284510.0813699998</v>
      </c>
      <c r="BF23" s="50">
        <v>1299258.19897</v>
      </c>
      <c r="BG23" s="50">
        <v>1313927.0745399999</v>
      </c>
      <c r="BH23" s="50">
        <v>1326952.7968599999</v>
      </c>
      <c r="BI23" s="50">
        <v>1342961.4765399999</v>
      </c>
      <c r="BJ23" s="50">
        <v>1357418.50914</v>
      </c>
      <c r="BK23" s="50">
        <v>1391981.5058999998</v>
      </c>
      <c r="BL23" s="50">
        <v>1407060.7225899999</v>
      </c>
      <c r="BM23" s="52">
        <v>1407060.7225899999</v>
      </c>
      <c r="BN23" s="52">
        <v>1437423.4697100001</v>
      </c>
      <c r="BO23" s="52">
        <v>1452875.2148599999</v>
      </c>
      <c r="BP23" s="52">
        <v>1468356.6401399998</v>
      </c>
      <c r="BQ23" s="52">
        <v>1483560.54684</v>
      </c>
      <c r="BR23" s="52">
        <v>1498740.96627</v>
      </c>
      <c r="BS23" s="52">
        <v>1513988.5929700001</v>
      </c>
      <c r="BT23" s="52">
        <v>1529308.7025100002</v>
      </c>
      <c r="BU23" s="52">
        <v>1544662.99456</v>
      </c>
      <c r="BV23" s="52">
        <v>1544662.99456</v>
      </c>
      <c r="BW23" s="52">
        <v>1600512.5974499998</v>
      </c>
      <c r="BX23" s="52">
        <v>1616029.9681599999</v>
      </c>
      <c r="BY23" s="52">
        <v>1631501.4346399999</v>
      </c>
      <c r="BZ23" s="52">
        <v>1646990.7033200001</v>
      </c>
      <c r="CA23" s="52">
        <v>1662754.8817900002</v>
      </c>
      <c r="CB23" s="52">
        <v>1678734.4581100002</v>
      </c>
      <c r="CC23" s="52">
        <v>1694613.6231200001</v>
      </c>
      <c r="CD23" s="52">
        <v>1710545.7427600001</v>
      </c>
      <c r="CE23" s="52">
        <v>1726488.9753399999</v>
      </c>
      <c r="CF23" s="52">
        <v>1742685.5635200001</v>
      </c>
      <c r="CG23" s="52">
        <v>1758823.0756600001</v>
      </c>
      <c r="CH23" s="52">
        <v>1774945.3194300001</v>
      </c>
      <c r="CI23" s="52">
        <v>1826938.3748300001</v>
      </c>
      <c r="CJ23" s="52">
        <v>1826938.3748300001</v>
      </c>
      <c r="CK23" s="52">
        <v>1860418.1999900001</v>
      </c>
      <c r="CL23" s="52">
        <v>1877337.3846100001</v>
      </c>
      <c r="CM23" s="52">
        <v>1877337.38047</v>
      </c>
      <c r="CN23" s="52">
        <v>1877337.38047</v>
      </c>
      <c r="CO23" s="52">
        <v>1877343.20456</v>
      </c>
      <c r="CP23" s="52">
        <v>1944567.02293</v>
      </c>
      <c r="CQ23" s="52">
        <v>1961547.44334</v>
      </c>
      <c r="CR23" s="52">
        <v>1978650.7178720001</v>
      </c>
      <c r="CS23" s="51">
        <v>1996023.0040599999</v>
      </c>
      <c r="CT23" s="51">
        <v>2013726.6694200002</v>
      </c>
      <c r="CU23" s="51">
        <v>2075746.78498</v>
      </c>
      <c r="CV23" s="51">
        <v>2075746.78498</v>
      </c>
      <c r="CW23" s="51">
        <v>2075746.78498</v>
      </c>
      <c r="CX23" s="51">
        <v>2075746.78498</v>
      </c>
      <c r="CY23" s="51">
        <f>2131397818.64/1000</f>
        <v>2131397.8186400002</v>
      </c>
      <c r="CZ23" s="51">
        <f>2168807467.47/1000</f>
        <v>2168807.4674699996</v>
      </c>
      <c r="DA23" s="51">
        <f>2187702538.62/1000</f>
        <v>2187702.5386199998</v>
      </c>
      <c r="DB23" s="51">
        <v>2187844.6776300003</v>
      </c>
      <c r="DC23" s="51">
        <f>2225915575.76/1000</f>
        <v>2225915.5757600004</v>
      </c>
      <c r="DD23" s="51">
        <f>2245094787.89/1000</f>
        <v>2245094.7878899998</v>
      </c>
      <c r="DE23" s="51">
        <f>2245094787.89/1000</f>
        <v>2245094.7878899998</v>
      </c>
      <c r="DF23" s="51">
        <f>2284322308.53/1000</f>
        <v>2284322.30853</v>
      </c>
      <c r="DG23" s="51">
        <f>2352514799.44/1000</f>
        <v>2352514.7994400002</v>
      </c>
    </row>
    <row r="24" spans="2:111" x14ac:dyDescent="0.3">
      <c r="B24" s="67"/>
      <c r="C24" s="68"/>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2"/>
      <c r="BN24" s="52"/>
      <c r="BO24" s="52"/>
      <c r="BP24" s="64"/>
      <c r="BQ24" s="64"/>
      <c r="BR24" s="64"/>
      <c r="BS24" s="64"/>
      <c r="BT24" s="64"/>
      <c r="BU24" s="64"/>
      <c r="BV24" s="64"/>
      <c r="BW24" s="64"/>
      <c r="BX24" s="64"/>
      <c r="BY24" s="64"/>
      <c r="BZ24" s="64"/>
      <c r="CA24" s="64"/>
      <c r="CB24" s="64"/>
      <c r="CC24" s="64"/>
      <c r="CD24" s="64"/>
      <c r="CE24" s="64"/>
      <c r="CF24" s="64"/>
      <c r="CG24" s="64"/>
      <c r="CH24" s="64"/>
      <c r="CI24" s="64"/>
      <c r="CJ24" s="65"/>
      <c r="CK24" s="65"/>
      <c r="CL24" s="65"/>
      <c r="CM24" s="65"/>
      <c r="CN24" s="65"/>
      <c r="CO24" s="65"/>
      <c r="CP24" s="65"/>
      <c r="CQ24" s="65"/>
      <c r="CR24" s="65"/>
      <c r="CS24" s="66"/>
      <c r="CT24" s="66"/>
      <c r="CU24" s="66"/>
      <c r="CV24" s="66"/>
      <c r="CW24" s="66"/>
      <c r="CX24" s="66"/>
      <c r="CY24" s="66"/>
      <c r="CZ24" s="66"/>
      <c r="DA24" s="66"/>
      <c r="DB24" s="51"/>
      <c r="DC24" s="51"/>
      <c r="DD24" s="51"/>
      <c r="DE24" s="51"/>
      <c r="DF24" s="51"/>
      <c r="DG24" s="51"/>
    </row>
    <row r="25" spans="2:111" x14ac:dyDescent="0.3">
      <c r="B25" s="70"/>
      <c r="C25" s="71" t="s">
        <v>64</v>
      </c>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7">
        <f>+AV23+AV18+AV21</f>
        <v>1194840.2866399998</v>
      </c>
      <c r="AW25" s="57">
        <f t="shared" ref="AW25:AY25" si="1">+AW23+AW18+AW21</f>
        <v>1210290.8833900001</v>
      </c>
      <c r="AX25" s="57">
        <f t="shared" si="1"/>
        <v>1226210.9106599998</v>
      </c>
      <c r="AY25" s="57">
        <f t="shared" si="1"/>
        <v>1241340.9692299999</v>
      </c>
      <c r="AZ25" s="57">
        <f>+AZ23+AZ18+AZ21</f>
        <v>1213494.2839499998</v>
      </c>
      <c r="BA25" s="57">
        <v>1229543.70584</v>
      </c>
      <c r="BB25" s="57">
        <v>1245510.3119199998</v>
      </c>
      <c r="BC25" s="57">
        <v>1262782.4934399999</v>
      </c>
      <c r="BD25" s="57">
        <v>1280186.2335300001</v>
      </c>
      <c r="BE25" s="57">
        <v>1296308.82556</v>
      </c>
      <c r="BF25" s="57">
        <v>1312627.20695</v>
      </c>
      <c r="BG25" s="57">
        <v>1328804.2131500002</v>
      </c>
      <c r="BH25" s="57">
        <v>1343413.2331499998</v>
      </c>
      <c r="BI25" s="57">
        <v>1361187.31225</v>
      </c>
      <c r="BJ25" s="57">
        <v>1377382.45245</v>
      </c>
      <c r="BK25" s="57">
        <v>1393225.2643899999</v>
      </c>
      <c r="BL25" s="57">
        <v>1410300.3613199999</v>
      </c>
      <c r="BM25" s="59">
        <v>1412077.8065199996</v>
      </c>
      <c r="BN25" s="59">
        <v>1444250.20964</v>
      </c>
      <c r="BO25" s="59">
        <v>1461551.67086</v>
      </c>
      <c r="BP25" s="59">
        <v>1478970.2816199998</v>
      </c>
      <c r="BQ25" s="59">
        <v>1496229.8261299999</v>
      </c>
      <c r="BR25" s="59">
        <v>1513504.4825799998</v>
      </c>
      <c r="BS25" s="59">
        <v>1532781.0238300001</v>
      </c>
      <c r="BT25" s="59">
        <v>1550122.1599900001</v>
      </c>
      <c r="BU25" s="59">
        <v>1567610.1038600001</v>
      </c>
      <c r="BV25" s="59">
        <v>1570011.5614199999</v>
      </c>
      <c r="BW25" s="59">
        <v>1601745.4601299998</v>
      </c>
      <c r="BX25" s="59">
        <v>1619915.68356</v>
      </c>
      <c r="BY25" s="59">
        <v>1637821.0284199999</v>
      </c>
      <c r="BZ25" s="59">
        <v>1656180.8552300003</v>
      </c>
      <c r="CA25" s="59">
        <v>1674913.56592</v>
      </c>
      <c r="CB25" s="59">
        <v>1693999.2225100002</v>
      </c>
      <c r="CC25" s="59">
        <v>1712767.05174</v>
      </c>
      <c r="CD25" s="59">
        <v>1731945.4056200001</v>
      </c>
      <c r="CE25" s="59">
        <v>1751145.5037499999</v>
      </c>
      <c r="CF25" s="59">
        <v>1770493.79871</v>
      </c>
      <c r="CG25" s="59">
        <v>1789862.8141700001</v>
      </c>
      <c r="CH25" s="59">
        <v>1809494.48336</v>
      </c>
      <c r="CI25" s="59">
        <v>1828012.2525900002</v>
      </c>
      <c r="CJ25" s="59">
        <v>1831797.65274</v>
      </c>
      <c r="CK25" s="59">
        <v>1868871.0977</v>
      </c>
      <c r="CL25" s="59">
        <v>1889644.8954300003</v>
      </c>
      <c r="CM25" s="59">
        <v>1893381.7082199999</v>
      </c>
      <c r="CN25" s="59">
        <v>1897269.8629700001</v>
      </c>
      <c r="CO25" s="59">
        <v>1901048.42882</v>
      </c>
      <c r="CP25" s="59">
        <v>1972169.1106400001</v>
      </c>
      <c r="CQ25" s="59">
        <v>1992970.4835300001</v>
      </c>
      <c r="CR25" s="59">
        <v>2013927.2783320001</v>
      </c>
      <c r="CS25" s="58">
        <v>2035235.8725099999</v>
      </c>
      <c r="CT25" s="58">
        <v>2056681.6898400001</v>
      </c>
      <c r="CU25" s="58">
        <v>2076820.7008600002</v>
      </c>
      <c r="CV25" s="58">
        <v>2080574.4357</v>
      </c>
      <c r="CW25" s="58">
        <v>2084109.16609</v>
      </c>
      <c r="CX25" s="58">
        <v>2087908.63176</v>
      </c>
      <c r="CY25" s="58">
        <f>2147856773.87/1000</f>
        <v>2147856.7738699997</v>
      </c>
      <c r="CZ25" s="58">
        <f>2190698382.04/1000</f>
        <v>2190698.3820400001</v>
      </c>
      <c r="DA25" s="58">
        <f>2214921589.1/1000</f>
        <v>2214921.5891</v>
      </c>
      <c r="DB25" s="58">
        <v>2221090.6838600002</v>
      </c>
      <c r="DC25" s="58">
        <f>2266381410.33/1000</f>
        <v>2266381.4103299999</v>
      </c>
      <c r="DD25" s="58">
        <f>2291696757.99/1000</f>
        <v>2291696.7579899998</v>
      </c>
      <c r="DE25" s="58">
        <f>2297067597.96/1000</f>
        <v>2297067.5979599999</v>
      </c>
      <c r="DF25" s="58">
        <v>2341176.4616100001</v>
      </c>
      <c r="DG25" s="58">
        <f>2353587111.45/1000</f>
        <v>2353587.1114499997</v>
      </c>
    </row>
    <row r="26" spans="2:111" x14ac:dyDescent="0.3">
      <c r="B26" s="15"/>
      <c r="C26" s="16"/>
      <c r="D26" s="17"/>
      <c r="E26" s="17"/>
      <c r="F26" s="17"/>
      <c r="G26" s="17"/>
      <c r="H26" s="17"/>
      <c r="I26" s="17"/>
      <c r="J26" s="17"/>
      <c r="K26" s="17"/>
      <c r="L26" s="17"/>
      <c r="M26" s="17"/>
      <c r="N26" s="17"/>
      <c r="O26" s="17"/>
      <c r="P26" s="18"/>
      <c r="Q26" s="18"/>
      <c r="R26" s="18"/>
      <c r="S26" s="18"/>
      <c r="T26" s="18"/>
      <c r="U26" s="18"/>
      <c r="V26" s="18"/>
      <c r="W26" s="18"/>
      <c r="X26" s="18"/>
      <c r="Y26" s="18"/>
      <c r="Z26" s="18"/>
      <c r="AA26" s="18"/>
      <c r="AB26" s="16"/>
      <c r="AC26" s="16"/>
      <c r="AD26" s="16"/>
      <c r="AE26" s="16"/>
      <c r="AF26" s="16"/>
      <c r="AG26" s="16"/>
      <c r="AH26" s="16"/>
      <c r="AI26" s="16"/>
      <c r="AJ26" s="16"/>
      <c r="AK26" s="16"/>
      <c r="AL26" s="16"/>
      <c r="AM26" s="16"/>
    </row>
    <row r="27" spans="2:111" s="31" customFormat="1" x14ac:dyDescent="0.3">
      <c r="B27" s="19" t="s">
        <v>32</v>
      </c>
      <c r="C27" s="28"/>
      <c r="D27" s="28"/>
      <c r="E27" s="28"/>
      <c r="F27" s="28"/>
      <c r="G27" s="28"/>
      <c r="H27" s="28"/>
      <c r="I27" s="28"/>
      <c r="J27" s="28"/>
      <c r="K27" s="28"/>
      <c r="L27" s="28"/>
      <c r="M27" s="28"/>
      <c r="N27" s="28"/>
      <c r="O27" s="28"/>
      <c r="P27" s="29"/>
      <c r="Q27" s="29"/>
      <c r="R27" s="29"/>
      <c r="S27" s="29"/>
      <c r="T27" s="29"/>
      <c r="U27" s="29"/>
      <c r="V27" s="29"/>
      <c r="W27" s="29"/>
      <c r="X27" s="29"/>
      <c r="Y27" s="29"/>
      <c r="Z27" s="29"/>
      <c r="AA27" s="29"/>
      <c r="AB27" s="30"/>
      <c r="AC27" s="30"/>
      <c r="AD27" s="30"/>
      <c r="AE27" s="30"/>
      <c r="AF27" s="30"/>
      <c r="AG27" s="30"/>
      <c r="AH27" s="30"/>
      <c r="AI27" s="30"/>
      <c r="AJ27" s="30"/>
      <c r="AK27" s="28"/>
      <c r="AL27" s="28"/>
      <c r="AM27" s="28"/>
      <c r="AV27" s="43"/>
      <c r="AW27" s="43"/>
      <c r="AX27" s="43"/>
      <c r="AY27" s="43"/>
      <c r="AZ27" s="43"/>
      <c r="BA27" s="43"/>
      <c r="BB27" s="43"/>
      <c r="BC27" s="43"/>
      <c r="BD27" s="43"/>
      <c r="BE27" s="43"/>
      <c r="BF27" s="43"/>
      <c r="BG27" s="43"/>
      <c r="BH27" s="43"/>
      <c r="BI27" s="43"/>
      <c r="BJ27" s="43"/>
      <c r="BK27" s="43"/>
      <c r="BL27" s="43"/>
      <c r="BM27" s="43"/>
      <c r="BN27" s="43"/>
    </row>
    <row r="28" spans="2:111" s="31" customFormat="1" x14ac:dyDescent="0.3">
      <c r="B28" s="22" t="s">
        <v>41</v>
      </c>
      <c r="C28" s="28"/>
      <c r="D28" s="28"/>
      <c r="E28" s="28"/>
      <c r="F28" s="28"/>
      <c r="G28" s="28"/>
      <c r="H28" s="29"/>
      <c r="I28" s="29"/>
      <c r="J28" s="29"/>
      <c r="K28" s="29"/>
      <c r="L28" s="29"/>
      <c r="M28" s="29"/>
      <c r="N28" s="29"/>
      <c r="O28" s="29"/>
      <c r="P28" s="29"/>
      <c r="Q28" s="29"/>
      <c r="R28" s="29"/>
      <c r="S28" s="29"/>
      <c r="T28" s="29"/>
      <c r="U28" s="29"/>
      <c r="V28" s="29"/>
      <c r="W28" s="29"/>
      <c r="X28" s="29"/>
      <c r="Y28" s="29"/>
      <c r="Z28" s="29"/>
      <c r="AA28" s="29"/>
      <c r="AB28" s="28"/>
      <c r="AC28" s="28"/>
      <c r="AD28" s="28"/>
      <c r="AE28" s="28"/>
      <c r="AF28" s="28"/>
      <c r="AG28" s="28"/>
      <c r="AH28" s="28"/>
      <c r="AI28" s="28"/>
      <c r="AJ28" s="28"/>
      <c r="AK28" s="28"/>
      <c r="AL28" s="28"/>
      <c r="AM28" s="28"/>
      <c r="AX28" s="45"/>
      <c r="AY28" s="45"/>
      <c r="AZ28" s="45"/>
      <c r="BA28" s="45"/>
      <c r="BB28" s="45"/>
      <c r="BC28" s="45"/>
      <c r="BD28" s="45"/>
      <c r="BE28" s="45"/>
      <c r="BF28" s="45"/>
      <c r="BG28" s="45"/>
      <c r="BH28" s="45"/>
      <c r="BI28" s="45"/>
      <c r="BJ28" s="45"/>
      <c r="BK28" s="45"/>
      <c r="BL28" s="45"/>
      <c r="BM28" s="45"/>
      <c r="BN28" s="45"/>
    </row>
    <row r="29" spans="2:111" s="31" customFormat="1" x14ac:dyDescent="0.3">
      <c r="B29" s="22" t="s">
        <v>40</v>
      </c>
      <c r="C29" s="28"/>
      <c r="D29" s="28"/>
      <c r="E29" s="28"/>
      <c r="F29" s="28"/>
      <c r="G29" s="28"/>
      <c r="H29" s="29"/>
      <c r="I29" s="29"/>
      <c r="J29" s="29"/>
      <c r="K29" s="29"/>
      <c r="L29" s="29"/>
      <c r="M29" s="29"/>
      <c r="N29" s="29"/>
      <c r="O29" s="29"/>
      <c r="P29" s="29"/>
      <c r="Q29" s="29"/>
      <c r="R29" s="29"/>
      <c r="S29" s="29"/>
      <c r="T29" s="29"/>
      <c r="U29" s="29"/>
      <c r="V29" s="29"/>
      <c r="W29" s="29"/>
      <c r="X29" s="29"/>
      <c r="Y29" s="29"/>
      <c r="Z29" s="29"/>
      <c r="AA29" s="29"/>
      <c r="AB29" s="28"/>
      <c r="AC29" s="28"/>
      <c r="AD29" s="28"/>
      <c r="AE29" s="28"/>
      <c r="AF29" s="28"/>
      <c r="AG29" s="28"/>
      <c r="AH29" s="28"/>
      <c r="AI29" s="28"/>
      <c r="AJ29" s="28"/>
      <c r="AK29" s="28"/>
      <c r="AL29" s="28"/>
      <c r="AM29" s="28"/>
      <c r="AW29" s="43"/>
      <c r="AX29" s="43"/>
      <c r="AY29" s="43"/>
      <c r="AZ29" s="43"/>
      <c r="BA29" s="43"/>
      <c r="BB29" s="43"/>
      <c r="BC29" s="43"/>
      <c r="BD29" s="43"/>
    </row>
    <row r="30" spans="2:111" s="31" customFormat="1" ht="15" customHeight="1" x14ac:dyDescent="0.3">
      <c r="B30" s="101" t="s">
        <v>36</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29"/>
      <c r="AA30" s="29"/>
      <c r="AB30" s="28"/>
      <c r="AC30" s="28"/>
      <c r="AD30" s="28"/>
      <c r="AE30" s="28"/>
      <c r="AF30" s="28"/>
      <c r="AG30" s="28"/>
      <c r="AH30" s="28"/>
      <c r="AI30" s="28"/>
      <c r="AJ30" s="28"/>
      <c r="AK30" s="28"/>
      <c r="AL30" s="28"/>
      <c r="AM30" s="28"/>
    </row>
    <row r="31" spans="2:111" s="31" customFormat="1" ht="15" customHeight="1" x14ac:dyDescent="0.3">
      <c r="B31" s="39" t="s">
        <v>61</v>
      </c>
      <c r="C31" s="38"/>
      <c r="D31" s="38"/>
      <c r="E31" s="38"/>
      <c r="F31" s="38"/>
      <c r="G31" s="38"/>
      <c r="H31" s="38"/>
      <c r="I31" s="38"/>
      <c r="J31" s="38"/>
      <c r="K31" s="38"/>
      <c r="L31" s="38"/>
      <c r="M31" s="38"/>
      <c r="N31" s="38"/>
      <c r="O31" s="38"/>
      <c r="P31" s="38"/>
      <c r="Q31" s="38"/>
      <c r="R31" s="38"/>
      <c r="S31" s="38"/>
      <c r="T31" s="38"/>
      <c r="U31" s="38"/>
      <c r="V31" s="38"/>
      <c r="W31" s="38"/>
      <c r="X31" s="38"/>
      <c r="Y31" s="38"/>
      <c r="Z31" s="29"/>
      <c r="AA31" s="29"/>
      <c r="AB31" s="28"/>
      <c r="AC31" s="28"/>
      <c r="AD31" s="28"/>
      <c r="AE31" s="28"/>
      <c r="AF31" s="28"/>
      <c r="AG31" s="28"/>
      <c r="AH31" s="28"/>
      <c r="AI31" s="28"/>
      <c r="AJ31" s="28"/>
      <c r="AK31" s="28"/>
      <c r="AL31" s="28"/>
      <c r="AM31" s="28"/>
    </row>
    <row r="32" spans="2:111" s="31" customFormat="1" ht="15" customHeight="1" x14ac:dyDescent="0.3">
      <c r="B32" s="39" t="s">
        <v>67</v>
      </c>
      <c r="C32" s="44"/>
      <c r="D32" s="44"/>
      <c r="E32" s="44"/>
      <c r="F32" s="44"/>
      <c r="G32" s="44"/>
      <c r="H32" s="44"/>
      <c r="I32" s="44"/>
      <c r="J32" s="44"/>
      <c r="K32" s="44"/>
      <c r="L32" s="44"/>
      <c r="M32" s="44"/>
      <c r="N32" s="44"/>
      <c r="O32" s="44"/>
      <c r="P32" s="44"/>
      <c r="Q32" s="44"/>
      <c r="R32" s="44"/>
      <c r="S32" s="44"/>
      <c r="T32" s="44"/>
      <c r="U32" s="44"/>
      <c r="V32" s="44"/>
      <c r="W32" s="44"/>
      <c r="X32" s="44"/>
      <c r="Y32" s="44"/>
      <c r="Z32" s="29"/>
      <c r="AA32" s="29"/>
      <c r="AB32" s="28"/>
      <c r="AC32" s="28"/>
      <c r="AD32" s="28"/>
      <c r="AE32" s="28"/>
      <c r="AF32" s="28"/>
      <c r="AG32" s="28"/>
      <c r="AH32" s="28"/>
      <c r="AI32" s="28"/>
      <c r="AJ32" s="28"/>
      <c r="AK32" s="28"/>
      <c r="AL32" s="28"/>
      <c r="AM32" s="28"/>
    </row>
    <row r="33" spans="2:50" x14ac:dyDescent="0.3">
      <c r="B33" s="39" t="s">
        <v>68</v>
      </c>
      <c r="C33" s="16"/>
      <c r="D33" s="16"/>
      <c r="E33" s="16"/>
      <c r="F33" s="16"/>
      <c r="G33" s="16"/>
      <c r="H33" s="20"/>
      <c r="I33" s="20"/>
      <c r="J33" s="20"/>
      <c r="K33" s="20"/>
      <c r="L33" s="20"/>
      <c r="M33" s="20"/>
      <c r="N33" s="20"/>
      <c r="O33" s="20"/>
      <c r="P33" s="20"/>
      <c r="Q33" s="20"/>
      <c r="R33" s="20"/>
      <c r="S33" s="20"/>
      <c r="T33" s="20"/>
      <c r="U33" s="20"/>
      <c r="V33" s="20"/>
      <c r="W33" s="20"/>
      <c r="X33" s="20"/>
      <c r="Y33" s="20"/>
      <c r="Z33" s="20"/>
      <c r="AA33" s="20"/>
      <c r="AB33" s="16"/>
      <c r="AC33" s="16"/>
      <c r="AD33" s="16"/>
      <c r="AE33" s="16"/>
      <c r="AF33" s="16"/>
      <c r="AG33" s="16"/>
      <c r="AH33" s="16"/>
      <c r="AI33" s="16"/>
      <c r="AJ33" s="16"/>
      <c r="AK33" s="16"/>
      <c r="AL33" s="16"/>
      <c r="AM33" s="16"/>
    </row>
    <row r="34" spans="2:50" x14ac:dyDescent="0.3">
      <c r="B34" s="39" t="s">
        <v>74</v>
      </c>
      <c r="C34" s="16"/>
      <c r="D34" s="16"/>
      <c r="E34" s="16"/>
      <c r="F34" s="16"/>
      <c r="G34" s="16"/>
      <c r="H34" s="20"/>
      <c r="I34" s="20"/>
      <c r="J34" s="20"/>
      <c r="K34" s="20"/>
      <c r="L34" s="20"/>
      <c r="M34" s="20"/>
      <c r="N34" s="20"/>
      <c r="O34" s="20"/>
      <c r="P34" s="20"/>
      <c r="Q34" s="20"/>
      <c r="R34" s="20"/>
      <c r="S34" s="20"/>
      <c r="T34" s="20"/>
      <c r="U34" s="20"/>
      <c r="V34" s="20"/>
      <c r="W34" s="20"/>
      <c r="X34" s="20"/>
      <c r="Y34" s="20"/>
      <c r="Z34" s="20"/>
      <c r="AA34" s="20"/>
      <c r="AB34" s="16"/>
      <c r="AC34" s="16"/>
      <c r="AD34" s="16"/>
      <c r="AE34" s="16"/>
      <c r="AF34" s="16"/>
      <c r="AG34" s="16"/>
      <c r="AH34" s="16"/>
      <c r="AI34" s="16"/>
      <c r="AJ34" s="16"/>
      <c r="AK34" s="16"/>
      <c r="AL34" s="16"/>
      <c r="AM34" s="16"/>
    </row>
    <row r="35" spans="2:50" x14ac:dyDescent="0.3">
      <c r="B35" s="39" t="s">
        <v>70</v>
      </c>
      <c r="C35" s="16"/>
      <c r="D35" s="16"/>
      <c r="E35" s="16"/>
      <c r="F35" s="16"/>
      <c r="G35" s="16"/>
      <c r="H35" s="20"/>
      <c r="I35" s="20"/>
      <c r="J35" s="20"/>
      <c r="K35" s="20"/>
      <c r="L35" s="20"/>
      <c r="M35" s="20"/>
      <c r="N35" s="20"/>
      <c r="O35" s="20"/>
      <c r="P35" s="20"/>
      <c r="Q35" s="20"/>
      <c r="R35" s="20"/>
      <c r="S35" s="20"/>
      <c r="T35" s="20"/>
      <c r="U35" s="20"/>
      <c r="V35" s="20"/>
      <c r="W35" s="20"/>
      <c r="X35" s="20"/>
      <c r="Y35" s="20"/>
      <c r="Z35" s="20"/>
      <c r="AA35" s="20"/>
      <c r="AB35" s="16"/>
      <c r="AC35" s="16"/>
      <c r="AD35" s="16"/>
      <c r="AE35" s="16"/>
      <c r="AF35" s="16"/>
      <c r="AG35" s="16"/>
      <c r="AH35" s="16"/>
      <c r="AI35" s="16"/>
      <c r="AJ35" s="16"/>
      <c r="AK35" s="16"/>
      <c r="AL35" s="16"/>
      <c r="AM35" s="16"/>
    </row>
    <row r="36" spans="2:50" x14ac:dyDescent="0.3">
      <c r="B36" s="39" t="s">
        <v>71</v>
      </c>
      <c r="C36" s="16"/>
      <c r="D36" s="16"/>
      <c r="E36" s="16"/>
      <c r="F36" s="16"/>
      <c r="G36" s="16"/>
      <c r="H36" s="20"/>
      <c r="I36" s="20"/>
      <c r="J36" s="20"/>
      <c r="K36" s="20"/>
      <c r="L36" s="20"/>
      <c r="M36" s="20"/>
      <c r="N36" s="20"/>
      <c r="O36" s="20"/>
      <c r="P36" s="20"/>
      <c r="Q36" s="20"/>
      <c r="R36" s="20"/>
      <c r="S36" s="20"/>
      <c r="T36" s="20"/>
      <c r="U36" s="20"/>
      <c r="V36" s="20"/>
      <c r="W36" s="20"/>
      <c r="X36" s="20"/>
      <c r="Y36" s="20"/>
      <c r="Z36" s="20"/>
      <c r="AA36" s="20"/>
      <c r="AB36" s="16"/>
      <c r="AC36" s="16"/>
      <c r="AD36" s="16"/>
      <c r="AE36" s="16"/>
      <c r="AF36" s="16"/>
      <c r="AG36" s="16"/>
      <c r="AH36" s="16"/>
      <c r="AI36" s="16"/>
      <c r="AJ36" s="16"/>
      <c r="AK36" s="16"/>
      <c r="AL36" s="16"/>
      <c r="AM36" s="16"/>
    </row>
    <row r="37" spans="2:50" ht="25.5" customHeight="1" x14ac:dyDescent="0.3">
      <c r="B37" s="101" t="s">
        <v>83</v>
      </c>
      <c r="C37" s="101"/>
      <c r="D37" s="101"/>
      <c r="E37" s="101"/>
      <c r="F37" s="101"/>
      <c r="G37" s="101"/>
      <c r="H37" s="101"/>
      <c r="I37" s="101"/>
      <c r="J37" s="101"/>
      <c r="K37" s="101"/>
      <c r="L37" s="101"/>
      <c r="M37" s="101"/>
      <c r="N37" s="101"/>
      <c r="O37" s="20"/>
      <c r="P37" s="20"/>
      <c r="Q37" s="20"/>
      <c r="R37" s="20"/>
      <c r="S37" s="20"/>
      <c r="T37" s="20"/>
      <c r="U37" s="20"/>
      <c r="V37" s="20"/>
      <c r="W37" s="20"/>
      <c r="X37" s="20"/>
      <c r="Y37" s="20"/>
      <c r="Z37" s="20"/>
      <c r="AA37" s="20"/>
      <c r="AB37" s="16"/>
      <c r="AC37" s="16"/>
      <c r="AD37" s="16"/>
      <c r="AE37" s="16"/>
      <c r="AF37" s="16"/>
      <c r="AG37" s="16"/>
      <c r="AH37" s="16"/>
      <c r="AI37" s="16"/>
      <c r="AJ37" s="16"/>
      <c r="AK37" s="16"/>
      <c r="AL37" s="16"/>
      <c r="AM37" s="16"/>
    </row>
    <row r="38" spans="2:50" x14ac:dyDescent="0.3">
      <c r="B38" s="101" t="s">
        <v>91</v>
      </c>
      <c r="C38" s="101"/>
      <c r="D38" s="101"/>
      <c r="E38" s="101"/>
      <c r="F38" s="101"/>
      <c r="G38" s="101"/>
      <c r="H38" s="101"/>
      <c r="I38" s="101"/>
      <c r="J38" s="101"/>
      <c r="K38" s="101"/>
      <c r="L38" s="101"/>
      <c r="M38" s="101"/>
      <c r="N38" s="101"/>
      <c r="O38" s="20"/>
      <c r="P38" s="20"/>
      <c r="Q38" s="20"/>
      <c r="R38" s="20"/>
      <c r="S38" s="20"/>
      <c r="T38" s="20"/>
      <c r="U38" s="20"/>
      <c r="V38" s="20"/>
      <c r="W38" s="20"/>
      <c r="X38" s="20"/>
      <c r="Y38" s="20"/>
      <c r="Z38" s="20"/>
      <c r="AA38" s="20"/>
      <c r="AB38" s="16"/>
      <c r="AC38" s="16"/>
      <c r="AD38" s="16"/>
      <c r="AE38" s="16"/>
      <c r="AF38" s="16"/>
      <c r="AG38" s="16"/>
      <c r="AH38" s="16"/>
      <c r="AI38" s="16"/>
      <c r="AJ38" s="16"/>
      <c r="AK38" s="16"/>
      <c r="AL38" s="16"/>
      <c r="AM38" s="16"/>
    </row>
    <row r="39" spans="2:50" s="32" customFormat="1" ht="27.75" customHeight="1" x14ac:dyDescent="0.3">
      <c r="B39" s="101" t="s">
        <v>96</v>
      </c>
      <c r="C39" s="101"/>
      <c r="D39" s="101"/>
      <c r="E39" s="101"/>
      <c r="F39" s="101"/>
      <c r="G39" s="101"/>
      <c r="H39" s="101"/>
      <c r="I39" s="101"/>
      <c r="J39" s="101"/>
      <c r="K39" s="101"/>
      <c r="L39" s="101"/>
      <c r="M39" s="101"/>
      <c r="N39" s="101"/>
      <c r="O39" s="101"/>
      <c r="P39" s="101"/>
      <c r="Q39" s="33">
        <f>+Q11-(Q12+Q13+Q14)</f>
        <v>0</v>
      </c>
      <c r="R39" s="33">
        <f t="shared" ref="R39:AA39" si="2">+R11-(R12+R13+R14)</f>
        <v>0</v>
      </c>
      <c r="S39" s="33">
        <f t="shared" si="2"/>
        <v>0</v>
      </c>
      <c r="T39" s="33">
        <f t="shared" si="2"/>
        <v>0</v>
      </c>
      <c r="U39" s="33">
        <f t="shared" si="2"/>
        <v>0</v>
      </c>
      <c r="V39" s="33">
        <f t="shared" si="2"/>
        <v>0</v>
      </c>
      <c r="W39" s="33">
        <f t="shared" si="2"/>
        <v>0</v>
      </c>
      <c r="X39" s="33">
        <f>+X11-(X12+X13+X14)</f>
        <v>0</v>
      </c>
      <c r="Y39" s="33">
        <f t="shared" si="2"/>
        <v>0</v>
      </c>
      <c r="Z39" s="33">
        <f t="shared" si="2"/>
        <v>0</v>
      </c>
      <c r="AA39" s="33">
        <f t="shared" si="2"/>
        <v>0</v>
      </c>
      <c r="AB39" s="33">
        <f t="shared" ref="AB39:AO39" si="3">+AB11-(AB12+AB13+AB14)</f>
        <v>0</v>
      </c>
      <c r="AC39" s="33">
        <f t="shared" si="3"/>
        <v>0</v>
      </c>
      <c r="AD39" s="33">
        <f t="shared" si="3"/>
        <v>0</v>
      </c>
      <c r="AE39" s="33">
        <f t="shared" si="3"/>
        <v>0</v>
      </c>
      <c r="AF39" s="33">
        <f t="shared" si="3"/>
        <v>0</v>
      </c>
      <c r="AG39" s="33">
        <f t="shared" si="3"/>
        <v>0</v>
      </c>
      <c r="AH39" s="33">
        <f t="shared" si="3"/>
        <v>0</v>
      </c>
      <c r="AI39" s="33">
        <f t="shared" si="3"/>
        <v>0</v>
      </c>
      <c r="AJ39" s="33">
        <f t="shared" si="3"/>
        <v>0</v>
      </c>
      <c r="AK39" s="33">
        <f t="shared" si="3"/>
        <v>0</v>
      </c>
      <c r="AL39" s="33">
        <f t="shared" si="3"/>
        <v>0</v>
      </c>
      <c r="AM39" s="33">
        <f t="shared" si="3"/>
        <v>0</v>
      </c>
      <c r="AN39" s="33">
        <f t="shared" si="3"/>
        <v>0</v>
      </c>
      <c r="AO39" s="33">
        <f t="shared" si="3"/>
        <v>0</v>
      </c>
      <c r="AP39" s="33"/>
      <c r="AQ39" s="33"/>
      <c r="AR39" s="33"/>
      <c r="AS39" s="33"/>
      <c r="AT39" s="33"/>
      <c r="AU39" s="33"/>
      <c r="AV39" s="33"/>
      <c r="AW39" s="33"/>
      <c r="AX39" s="33"/>
    </row>
    <row r="40" spans="2:50" s="32" customFormat="1" ht="27" customHeight="1" x14ac:dyDescent="0.3">
      <c r="B40" s="98" t="s">
        <v>103</v>
      </c>
      <c r="C40" s="98"/>
      <c r="D40" s="98"/>
      <c r="E40" s="98"/>
      <c r="F40" s="98"/>
      <c r="G40" s="98"/>
      <c r="H40" s="98"/>
      <c r="I40" s="98"/>
      <c r="J40" s="98"/>
      <c r="K40" s="98"/>
      <c r="L40" s="98"/>
      <c r="M40" s="98"/>
      <c r="N40" s="98"/>
      <c r="O40" s="98"/>
      <c r="P40" s="98"/>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row>
    <row r="41" spans="2:50" s="32" customFormat="1" ht="44.25" customHeight="1" x14ac:dyDescent="0.3">
      <c r="B41" s="98" t="s">
        <v>105</v>
      </c>
      <c r="C41" s="98"/>
      <c r="D41" s="98"/>
      <c r="E41" s="98"/>
      <c r="F41" s="98"/>
      <c r="G41" s="98"/>
      <c r="H41" s="98"/>
      <c r="I41" s="98"/>
      <c r="J41" s="98"/>
      <c r="K41" s="98"/>
      <c r="L41" s="98"/>
      <c r="M41" s="98"/>
      <c r="N41" s="98"/>
      <c r="O41" s="98"/>
      <c r="P41" s="98"/>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row>
    <row r="42" spans="2:50" s="32" customFormat="1" ht="29.25" customHeight="1" x14ac:dyDescent="0.3">
      <c r="B42" s="98" t="s">
        <v>111</v>
      </c>
      <c r="C42" s="98"/>
      <c r="D42" s="98"/>
      <c r="E42" s="98"/>
      <c r="F42" s="98"/>
      <c r="G42" s="98"/>
      <c r="H42" s="98"/>
      <c r="I42" s="98"/>
      <c r="J42" s="98"/>
      <c r="K42" s="98"/>
      <c r="L42" s="98"/>
      <c r="M42" s="98"/>
      <c r="N42" s="98"/>
      <c r="O42" s="98"/>
      <c r="P42" s="98"/>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row>
    <row r="43" spans="2:50" s="32" customFormat="1" ht="29.25" customHeight="1" x14ac:dyDescent="0.3">
      <c r="B43" s="101" t="s">
        <v>116</v>
      </c>
      <c r="C43" s="101"/>
      <c r="D43" s="101"/>
      <c r="E43" s="101"/>
      <c r="F43" s="101"/>
      <c r="G43" s="101"/>
      <c r="H43" s="101"/>
      <c r="I43" s="101"/>
      <c r="J43" s="101"/>
      <c r="K43" s="101"/>
      <c r="L43" s="101"/>
      <c r="M43" s="101"/>
      <c r="N43" s="101"/>
      <c r="O43" s="101"/>
      <c r="P43" s="101"/>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row>
    <row r="44" spans="2:50" s="32" customFormat="1" x14ac:dyDescent="0.3">
      <c r="B44" s="25" t="s">
        <v>54</v>
      </c>
      <c r="D44" s="33">
        <f t="shared" ref="D44:AA44" si="4">+D18-(D19+D20)</f>
        <v>0</v>
      </c>
      <c r="E44" s="33">
        <f t="shared" si="4"/>
        <v>0</v>
      </c>
      <c r="F44" s="33">
        <f t="shared" si="4"/>
        <v>0</v>
      </c>
      <c r="G44" s="33">
        <f t="shared" si="4"/>
        <v>0</v>
      </c>
      <c r="H44" s="33">
        <f t="shared" si="4"/>
        <v>0</v>
      </c>
      <c r="I44" s="33">
        <f t="shared" si="4"/>
        <v>0</v>
      </c>
      <c r="J44" s="33">
        <f t="shared" si="4"/>
        <v>0</v>
      </c>
      <c r="K44" s="33">
        <f t="shared" si="4"/>
        <v>0</v>
      </c>
      <c r="L44" s="33">
        <f t="shared" si="4"/>
        <v>0</v>
      </c>
      <c r="M44" s="33">
        <f t="shared" si="4"/>
        <v>0</v>
      </c>
      <c r="N44" s="33">
        <f t="shared" si="4"/>
        <v>0</v>
      </c>
      <c r="O44" s="33">
        <f t="shared" si="4"/>
        <v>0</v>
      </c>
      <c r="P44" s="33">
        <f t="shared" si="4"/>
        <v>0</v>
      </c>
      <c r="Q44" s="33">
        <f t="shared" si="4"/>
        <v>0</v>
      </c>
      <c r="R44" s="33">
        <f t="shared" si="4"/>
        <v>0</v>
      </c>
      <c r="S44" s="33">
        <f t="shared" si="4"/>
        <v>0</v>
      </c>
      <c r="T44" s="33">
        <f t="shared" si="4"/>
        <v>0</v>
      </c>
      <c r="U44" s="33">
        <f t="shared" si="4"/>
        <v>0</v>
      </c>
      <c r="V44" s="33">
        <f t="shared" si="4"/>
        <v>0</v>
      </c>
      <c r="W44" s="33">
        <f t="shared" si="4"/>
        <v>0</v>
      </c>
      <c r="X44" s="33">
        <f t="shared" si="4"/>
        <v>0</v>
      </c>
      <c r="Y44" s="33">
        <f t="shared" si="4"/>
        <v>0</v>
      </c>
      <c r="Z44" s="33">
        <f t="shared" si="4"/>
        <v>0</v>
      </c>
      <c r="AA44" s="33">
        <f t="shared" si="4"/>
        <v>0</v>
      </c>
      <c r="AB44" s="33">
        <f t="shared" ref="AB44:AO44" si="5">+AB18-(AB19+AB20)</f>
        <v>0</v>
      </c>
      <c r="AC44" s="33">
        <f t="shared" si="5"/>
        <v>0</v>
      </c>
      <c r="AD44" s="33">
        <f t="shared" si="5"/>
        <v>0</v>
      </c>
      <c r="AE44" s="33">
        <f t="shared" si="5"/>
        <v>0</v>
      </c>
      <c r="AF44" s="33">
        <f t="shared" si="5"/>
        <v>0</v>
      </c>
      <c r="AG44" s="33">
        <f t="shared" si="5"/>
        <v>0</v>
      </c>
      <c r="AH44" s="33">
        <f t="shared" si="5"/>
        <v>0</v>
      </c>
      <c r="AI44" s="33">
        <f t="shared" si="5"/>
        <v>0</v>
      </c>
      <c r="AJ44" s="33">
        <f t="shared" si="5"/>
        <v>0</v>
      </c>
      <c r="AK44" s="33">
        <f t="shared" si="5"/>
        <v>0</v>
      </c>
      <c r="AL44" s="33">
        <f t="shared" si="5"/>
        <v>0</v>
      </c>
      <c r="AM44" s="33">
        <f t="shared" si="5"/>
        <v>0</v>
      </c>
      <c r="AN44" s="33">
        <f t="shared" si="5"/>
        <v>0</v>
      </c>
      <c r="AO44" s="33">
        <f t="shared" si="5"/>
        <v>0</v>
      </c>
      <c r="AP44" s="33"/>
      <c r="AQ44" s="33"/>
      <c r="AR44" s="33"/>
      <c r="AS44" s="33"/>
      <c r="AT44" s="33"/>
      <c r="AU44" s="33"/>
      <c r="AV44" s="33"/>
      <c r="AW44" s="33"/>
      <c r="AX44" s="33"/>
    </row>
    <row r="45" spans="2:50" s="32" customFormat="1" x14ac:dyDescent="0.3">
      <c r="D45" s="33">
        <f>+(D11-(D18+D23))</f>
        <v>-1.1641532182693481E-10</v>
      </c>
      <c r="E45" s="33">
        <f t="shared" ref="E45:AA45" si="6">+(E11-(E18+E23))</f>
        <v>-1.1641532182693481E-10</v>
      </c>
      <c r="F45" s="33">
        <f t="shared" si="6"/>
        <v>0</v>
      </c>
      <c r="G45" s="34">
        <f>+(G11-(G18+G23))</f>
        <v>0</v>
      </c>
      <c r="H45" s="33">
        <f t="shared" si="6"/>
        <v>0</v>
      </c>
      <c r="I45" s="33">
        <f t="shared" si="6"/>
        <v>0</v>
      </c>
      <c r="J45" s="33">
        <f t="shared" si="6"/>
        <v>0</v>
      </c>
      <c r="K45" s="33">
        <f t="shared" si="6"/>
        <v>0</v>
      </c>
      <c r="L45" s="33">
        <f t="shared" si="6"/>
        <v>1.1641532182693481E-10</v>
      </c>
      <c r="M45" s="33">
        <f t="shared" si="6"/>
        <v>0</v>
      </c>
      <c r="N45" s="33">
        <f t="shared" si="6"/>
        <v>-1.1641532182693481E-10</v>
      </c>
      <c r="O45" s="33">
        <f t="shared" si="6"/>
        <v>-1.1641532182693481E-10</v>
      </c>
      <c r="P45" s="33">
        <f t="shared" si="6"/>
        <v>-1.1641532182693481E-10</v>
      </c>
      <c r="Q45" s="33">
        <f t="shared" si="6"/>
        <v>1.1641532182693481E-10</v>
      </c>
      <c r="R45" s="33">
        <f t="shared" si="6"/>
        <v>0</v>
      </c>
      <c r="S45" s="33">
        <f t="shared" si="6"/>
        <v>0</v>
      </c>
      <c r="T45" s="33">
        <f t="shared" si="6"/>
        <v>1.1641532182693481E-10</v>
      </c>
      <c r="U45" s="33">
        <f t="shared" si="6"/>
        <v>-1.1641532182693481E-10</v>
      </c>
      <c r="V45" s="33">
        <f t="shared" si="6"/>
        <v>-1.1641532182693481E-10</v>
      </c>
      <c r="W45" s="33">
        <f t="shared" si="6"/>
        <v>0</v>
      </c>
      <c r="X45" s="33">
        <f t="shared" si="6"/>
        <v>0</v>
      </c>
      <c r="Y45" s="33">
        <f t="shared" si="6"/>
        <v>0</v>
      </c>
      <c r="Z45" s="33">
        <f t="shared" si="6"/>
        <v>0</v>
      </c>
      <c r="AA45" s="33">
        <f t="shared" si="6"/>
        <v>0</v>
      </c>
      <c r="AB45" s="33">
        <f t="shared" ref="AB45:AO45" si="7">+(AB11-(AB18+AB23))</f>
        <v>0</v>
      </c>
      <c r="AC45" s="33">
        <f t="shared" si="7"/>
        <v>1.1641532182693481E-10</v>
      </c>
      <c r="AD45" s="33">
        <f t="shared" si="7"/>
        <v>-1.1641532182693481E-10</v>
      </c>
      <c r="AE45" s="33">
        <f t="shared" si="7"/>
        <v>0</v>
      </c>
      <c r="AF45" s="33">
        <f t="shared" si="7"/>
        <v>0</v>
      </c>
      <c r="AG45" s="33">
        <f t="shared" si="7"/>
        <v>0</v>
      </c>
      <c r="AH45" s="33">
        <f t="shared" si="7"/>
        <v>0</v>
      </c>
      <c r="AI45" s="33">
        <f t="shared" si="7"/>
        <v>1.1641532182693481E-10</v>
      </c>
      <c r="AJ45" s="33">
        <f t="shared" si="7"/>
        <v>0</v>
      </c>
      <c r="AK45" s="33">
        <f t="shared" si="7"/>
        <v>0</v>
      </c>
      <c r="AL45" s="33">
        <f t="shared" si="7"/>
        <v>2.3283064365386963E-10</v>
      </c>
      <c r="AM45" s="33">
        <f t="shared" si="7"/>
        <v>0</v>
      </c>
      <c r="AN45" s="33">
        <f t="shared" si="7"/>
        <v>0</v>
      </c>
      <c r="AO45" s="33">
        <f t="shared" si="7"/>
        <v>0</v>
      </c>
      <c r="AP45" s="33"/>
      <c r="AQ45" s="33"/>
      <c r="AR45" s="33"/>
      <c r="AS45" s="33"/>
      <c r="AT45" s="33"/>
      <c r="AU45" s="33"/>
      <c r="AV45" s="33"/>
      <c r="AW45" s="33"/>
      <c r="AX45" s="33"/>
    </row>
    <row r="46" spans="2:50" s="32" customFormat="1" x14ac:dyDescent="0.3">
      <c r="D46" s="33">
        <f t="shared" ref="D46:AA46" si="8">(D23+D18)-D11</f>
        <v>0</v>
      </c>
      <c r="E46" s="33">
        <f t="shared" si="8"/>
        <v>0</v>
      </c>
      <c r="F46" s="33">
        <f t="shared" si="8"/>
        <v>0</v>
      </c>
      <c r="G46" s="33">
        <f t="shared" si="8"/>
        <v>0</v>
      </c>
      <c r="H46" s="33">
        <f t="shared" si="8"/>
        <v>0</v>
      </c>
      <c r="I46" s="33">
        <f t="shared" si="8"/>
        <v>0</v>
      </c>
      <c r="J46" s="33">
        <f t="shared" si="8"/>
        <v>0</v>
      </c>
      <c r="K46" s="33">
        <f t="shared" si="8"/>
        <v>0</v>
      </c>
      <c r="L46" s="33">
        <f t="shared" si="8"/>
        <v>0</v>
      </c>
      <c r="M46" s="33">
        <f t="shared" si="8"/>
        <v>0</v>
      </c>
      <c r="N46" s="33">
        <f t="shared" si="8"/>
        <v>0</v>
      </c>
      <c r="O46" s="33">
        <f t="shared" si="8"/>
        <v>0</v>
      </c>
      <c r="P46" s="33">
        <f t="shared" si="8"/>
        <v>0</v>
      </c>
      <c r="Q46" s="33">
        <f t="shared" si="8"/>
        <v>0</v>
      </c>
      <c r="R46" s="33">
        <f t="shared" si="8"/>
        <v>0</v>
      </c>
      <c r="S46" s="33">
        <f t="shared" si="8"/>
        <v>0</v>
      </c>
      <c r="T46" s="33">
        <f t="shared" si="8"/>
        <v>0</v>
      </c>
      <c r="U46" s="33">
        <f t="shared" si="8"/>
        <v>0</v>
      </c>
      <c r="V46" s="33">
        <f t="shared" si="8"/>
        <v>0</v>
      </c>
      <c r="W46" s="33">
        <f t="shared" si="8"/>
        <v>0</v>
      </c>
      <c r="X46" s="33">
        <f t="shared" si="8"/>
        <v>0</v>
      </c>
      <c r="Y46" s="33">
        <f t="shared" si="8"/>
        <v>0</v>
      </c>
      <c r="Z46" s="33">
        <f t="shared" si="8"/>
        <v>0</v>
      </c>
      <c r="AA46" s="33">
        <f t="shared" si="8"/>
        <v>0</v>
      </c>
      <c r="AB46" s="33">
        <f t="shared" ref="AB46:AO46" si="9">(AB23+AB18)-AB11</f>
        <v>0</v>
      </c>
      <c r="AC46" s="33">
        <f t="shared" si="9"/>
        <v>0</v>
      </c>
      <c r="AD46" s="33">
        <f t="shared" si="9"/>
        <v>0</v>
      </c>
      <c r="AE46" s="33">
        <f t="shared" si="9"/>
        <v>0</v>
      </c>
      <c r="AF46" s="33">
        <f t="shared" si="9"/>
        <v>0</v>
      </c>
      <c r="AG46" s="33">
        <f t="shared" si="9"/>
        <v>0</v>
      </c>
      <c r="AH46" s="33">
        <f t="shared" si="9"/>
        <v>0</v>
      </c>
      <c r="AI46" s="33">
        <f t="shared" si="9"/>
        <v>0</v>
      </c>
      <c r="AJ46" s="33">
        <f t="shared" si="9"/>
        <v>0</v>
      </c>
      <c r="AK46" s="33">
        <f t="shared" si="9"/>
        <v>0</v>
      </c>
      <c r="AL46" s="33">
        <f t="shared" si="9"/>
        <v>0</v>
      </c>
      <c r="AM46" s="33">
        <f t="shared" si="9"/>
        <v>0</v>
      </c>
      <c r="AN46" s="33">
        <f t="shared" si="9"/>
        <v>0</v>
      </c>
      <c r="AO46" s="33">
        <f t="shared" si="9"/>
        <v>0</v>
      </c>
      <c r="AP46" s="33"/>
      <c r="AQ46" s="33"/>
      <c r="AR46" s="33"/>
      <c r="AS46" s="33"/>
      <c r="AT46" s="33"/>
      <c r="AU46" s="33"/>
      <c r="AV46" s="33"/>
      <c r="AW46" s="33"/>
      <c r="AX46" s="33"/>
    </row>
    <row r="47" spans="2:50" s="32" customFormat="1" x14ac:dyDescent="0.3">
      <c r="B47" s="35"/>
      <c r="C47" s="36"/>
      <c r="D47" s="36"/>
      <c r="E47" s="36"/>
      <c r="F47" s="36"/>
      <c r="G47" s="36"/>
      <c r="H47" s="36"/>
      <c r="I47" s="36"/>
      <c r="J47" s="36"/>
      <c r="K47" s="36"/>
      <c r="L47" s="36"/>
      <c r="M47" s="36"/>
      <c r="N47" s="36"/>
      <c r="O47" s="36"/>
      <c r="P47" s="37"/>
      <c r="Q47" s="37"/>
      <c r="R47" s="37"/>
      <c r="S47" s="37"/>
      <c r="T47" s="37"/>
      <c r="U47" s="37"/>
      <c r="V47" s="37"/>
      <c r="W47" s="37"/>
      <c r="X47" s="37"/>
      <c r="Y47" s="37"/>
      <c r="Z47" s="37"/>
      <c r="AA47" s="37"/>
      <c r="AB47" s="36"/>
      <c r="AC47" s="36"/>
      <c r="AD47" s="36"/>
      <c r="AE47" s="36"/>
      <c r="AF47" s="36"/>
      <c r="AG47" s="36"/>
      <c r="AH47" s="36"/>
      <c r="AI47" s="36"/>
      <c r="AJ47" s="36"/>
      <c r="AK47" s="36"/>
      <c r="AL47" s="36"/>
      <c r="AM47" s="36"/>
    </row>
    <row r="62" spans="4:50" x14ac:dyDescent="0.3">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row>
    <row r="63" spans="4:50" x14ac:dyDescent="0.3">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row>
    <row r="64" spans="4:50" x14ac:dyDescent="0.3">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row>
    <row r="65" spans="4:50" x14ac:dyDescent="0.3">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row>
    <row r="66" spans="4:50" x14ac:dyDescent="0.3">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row>
    <row r="67" spans="4:50" x14ac:dyDescent="0.3">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row>
    <row r="68" spans="4:50" x14ac:dyDescent="0.3">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row>
    <row r="69" spans="4:50" x14ac:dyDescent="0.3">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row>
    <row r="70" spans="4:50" x14ac:dyDescent="0.3">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row>
    <row r="71" spans="4:50" x14ac:dyDescent="0.3">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row>
  </sheetData>
  <mergeCells count="20">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CU41"/>
  <sheetViews>
    <sheetView showGridLines="0" zoomScale="90" zoomScaleNormal="90" workbookViewId="0">
      <pane xSplit="3" ySplit="10" topLeftCell="D11" activePane="bottomRight" state="frozen"/>
      <selection pane="topRight" activeCell="D1" sqref="D1"/>
      <selection pane="bottomLeft" activeCell="A11" sqref="A11"/>
      <selection pane="bottomRight" activeCell="D7" sqref="D7:E7"/>
    </sheetView>
  </sheetViews>
  <sheetFormatPr baseColWidth="10"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77734375" customWidth="1"/>
  </cols>
  <sheetData>
    <row r="1" spans="2:99" ht="4.5" customHeight="1" x14ac:dyDescent="0.3">
      <c r="CE1" t="s">
        <v>97</v>
      </c>
    </row>
    <row r="3" spans="2:99" ht="18" x14ac:dyDescent="0.3">
      <c r="B3" s="6"/>
      <c r="C3" s="6"/>
      <c r="D3" s="108" t="s">
        <v>16</v>
      </c>
      <c r="E3" s="108"/>
      <c r="F3" s="108"/>
      <c r="G3" s="108"/>
      <c r="H3" s="108"/>
      <c r="I3" s="108"/>
      <c r="J3" s="108"/>
      <c r="K3" s="108"/>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2"/>
    </row>
    <row r="4" spans="2:99" ht="15.6" x14ac:dyDescent="0.3">
      <c r="B4" s="7"/>
      <c r="C4" s="7"/>
      <c r="D4" s="99" t="s">
        <v>34</v>
      </c>
      <c r="E4" s="99"/>
      <c r="F4" s="99"/>
      <c r="G4" s="99"/>
      <c r="H4" s="99"/>
      <c r="I4" s="99"/>
      <c r="J4" s="99"/>
      <c r="K4" s="99"/>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13"/>
    </row>
    <row r="5" spans="2:99" x14ac:dyDescent="0.3">
      <c r="B5" s="8"/>
      <c r="C5" s="8"/>
      <c r="D5" s="99" t="s">
        <v>118</v>
      </c>
      <c r="E5" s="99"/>
      <c r="F5" s="99"/>
      <c r="G5" s="99"/>
      <c r="H5" s="99"/>
      <c r="I5" s="99"/>
      <c r="J5" s="99"/>
      <c r="K5" s="99"/>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3"/>
    </row>
    <row r="6" spans="2:99" x14ac:dyDescent="0.3">
      <c r="D6" s="100" t="s">
        <v>35</v>
      </c>
      <c r="E6" s="100"/>
      <c r="F6" s="100"/>
      <c r="G6" s="100"/>
      <c r="H6" s="100"/>
      <c r="I6" s="100"/>
      <c r="J6" s="100"/>
      <c r="K6" s="100"/>
    </row>
    <row r="7" spans="2:99" x14ac:dyDescent="0.3">
      <c r="D7" s="96" t="s">
        <v>19</v>
      </c>
      <c r="E7" s="96"/>
      <c r="F7" s="14"/>
      <c r="G7" s="14"/>
      <c r="H7" s="14"/>
      <c r="I7" s="14"/>
      <c r="J7" s="14"/>
      <c r="K7" s="14"/>
    </row>
    <row r="9" spans="2:99" x14ac:dyDescent="0.3">
      <c r="B9" s="1"/>
      <c r="C9" s="1"/>
      <c r="D9" s="103" t="s">
        <v>13</v>
      </c>
      <c r="E9" s="103"/>
      <c r="F9" s="103"/>
      <c r="G9" s="103"/>
      <c r="H9" s="103"/>
      <c r="I9" s="103"/>
      <c r="J9" s="103"/>
      <c r="K9" s="103"/>
      <c r="L9" s="103"/>
      <c r="M9" s="103"/>
      <c r="N9" s="103"/>
      <c r="O9" s="103"/>
      <c r="P9" s="103" t="s">
        <v>14</v>
      </c>
      <c r="Q9" s="103"/>
      <c r="R9" s="103"/>
      <c r="S9" s="103"/>
      <c r="T9" s="103"/>
      <c r="U9" s="103"/>
      <c r="V9" s="103"/>
      <c r="W9" s="103"/>
      <c r="X9" s="103"/>
      <c r="Y9" s="103"/>
      <c r="Z9" s="103"/>
      <c r="AA9" s="103"/>
      <c r="AB9" s="103" t="s">
        <v>15</v>
      </c>
      <c r="AC9" s="103"/>
      <c r="AD9" s="103"/>
      <c r="AE9" s="103"/>
      <c r="AF9" s="103"/>
      <c r="AG9" s="103"/>
      <c r="AH9" s="103"/>
      <c r="AI9" s="103"/>
      <c r="AJ9" s="103"/>
      <c r="AK9" s="103"/>
      <c r="AL9" s="103"/>
      <c r="AM9" s="103"/>
      <c r="AN9" s="103" t="s">
        <v>69</v>
      </c>
      <c r="AO9" s="103"/>
      <c r="AP9" s="103"/>
      <c r="AQ9" s="103"/>
      <c r="AR9" s="103"/>
      <c r="AS9" s="103"/>
      <c r="AT9" s="103"/>
      <c r="AU9" s="103"/>
      <c r="AV9" s="103"/>
      <c r="AW9" s="103"/>
      <c r="AX9" s="103"/>
      <c r="AY9" s="103"/>
      <c r="AZ9" s="103" t="s">
        <v>86</v>
      </c>
      <c r="BA9" s="103"/>
      <c r="BB9" s="103"/>
      <c r="BC9" s="103"/>
      <c r="BD9" s="103"/>
      <c r="BE9" s="103"/>
      <c r="BF9" s="103"/>
      <c r="BG9" s="103"/>
      <c r="BH9" s="103"/>
      <c r="BI9" s="103"/>
      <c r="BJ9" s="103"/>
      <c r="BK9" s="103"/>
      <c r="BL9" s="102" t="s">
        <v>89</v>
      </c>
      <c r="BM9" s="102"/>
      <c r="BN9" s="102"/>
      <c r="BO9" s="102"/>
      <c r="BP9" s="102"/>
      <c r="BQ9" s="102"/>
      <c r="BR9" s="102"/>
      <c r="BS9" s="102"/>
      <c r="BT9" s="102"/>
      <c r="BU9" s="102"/>
      <c r="BV9" s="102"/>
      <c r="BW9" s="102"/>
      <c r="BX9" s="106" t="s">
        <v>95</v>
      </c>
      <c r="BY9" s="106"/>
      <c r="BZ9" s="106"/>
      <c r="CA9" s="106"/>
      <c r="CB9" s="106"/>
      <c r="CC9" s="106"/>
      <c r="CD9" s="106"/>
      <c r="CE9" s="106"/>
      <c r="CF9" s="106"/>
      <c r="CG9" s="106"/>
      <c r="CH9" s="106"/>
      <c r="CI9" s="106"/>
      <c r="CJ9" s="104" t="s">
        <v>109</v>
      </c>
      <c r="CK9" s="105"/>
      <c r="CL9" s="105"/>
      <c r="CM9" s="105"/>
      <c r="CN9" s="105"/>
      <c r="CO9" s="105"/>
      <c r="CP9" s="105"/>
      <c r="CQ9" s="105"/>
      <c r="CR9" s="105"/>
      <c r="CS9" s="105"/>
      <c r="CT9" s="105"/>
      <c r="CU9" s="105"/>
    </row>
    <row r="10" spans="2:99" ht="16.2" x14ac:dyDescent="0.3">
      <c r="B10" s="23"/>
      <c r="C10" s="23"/>
      <c r="D10" s="75" t="s">
        <v>10</v>
      </c>
      <c r="E10" s="75" t="s">
        <v>0</v>
      </c>
      <c r="F10" s="75" t="s">
        <v>7</v>
      </c>
      <c r="G10" s="75" t="s">
        <v>8</v>
      </c>
      <c r="H10" s="75" t="s">
        <v>9</v>
      </c>
      <c r="I10" s="75" t="s">
        <v>11</v>
      </c>
      <c r="J10" s="75" t="s">
        <v>1</v>
      </c>
      <c r="K10" s="75" t="s">
        <v>12</v>
      </c>
      <c r="L10" s="75" t="s">
        <v>2</v>
      </c>
      <c r="M10" s="75" t="s">
        <v>3</v>
      </c>
      <c r="N10" s="75" t="s">
        <v>4</v>
      </c>
      <c r="O10" s="75" t="s">
        <v>5</v>
      </c>
      <c r="P10" s="75" t="s">
        <v>10</v>
      </c>
      <c r="Q10" s="75" t="s">
        <v>0</v>
      </c>
      <c r="R10" s="75" t="s">
        <v>7</v>
      </c>
      <c r="S10" s="75" t="s">
        <v>8</v>
      </c>
      <c r="T10" s="75" t="s">
        <v>9</v>
      </c>
      <c r="U10" s="75" t="s">
        <v>11</v>
      </c>
      <c r="V10" s="75" t="s">
        <v>1</v>
      </c>
      <c r="W10" s="75" t="s">
        <v>12</v>
      </c>
      <c r="X10" s="75" t="s">
        <v>2</v>
      </c>
      <c r="Y10" s="75" t="s">
        <v>3</v>
      </c>
      <c r="Z10" s="75" t="s">
        <v>4</v>
      </c>
      <c r="AA10" s="75" t="s">
        <v>5</v>
      </c>
      <c r="AB10" s="76" t="s">
        <v>10</v>
      </c>
      <c r="AC10" s="76" t="s">
        <v>0</v>
      </c>
      <c r="AD10" s="76" t="s">
        <v>7</v>
      </c>
      <c r="AE10" s="76" t="s">
        <v>8</v>
      </c>
      <c r="AF10" s="76" t="s">
        <v>9</v>
      </c>
      <c r="AG10" s="76" t="s">
        <v>55</v>
      </c>
      <c r="AH10" s="76" t="s">
        <v>1</v>
      </c>
      <c r="AI10" s="76" t="s">
        <v>12</v>
      </c>
      <c r="AJ10" s="76" t="s">
        <v>2</v>
      </c>
      <c r="AK10" s="76" t="s">
        <v>3</v>
      </c>
      <c r="AL10" s="76" t="s">
        <v>4</v>
      </c>
      <c r="AM10" s="76" t="s">
        <v>76</v>
      </c>
      <c r="AN10" s="75" t="s">
        <v>10</v>
      </c>
      <c r="AO10" s="75" t="s">
        <v>0</v>
      </c>
      <c r="AP10" s="75" t="s">
        <v>7</v>
      </c>
      <c r="AQ10" s="75" t="s">
        <v>8</v>
      </c>
      <c r="AR10" s="75" t="s">
        <v>9</v>
      </c>
      <c r="AS10" s="75" t="s">
        <v>55</v>
      </c>
      <c r="AT10" s="49" t="s">
        <v>80</v>
      </c>
      <c r="AU10" s="75" t="s">
        <v>12</v>
      </c>
      <c r="AV10" s="75" t="s">
        <v>2</v>
      </c>
      <c r="AW10" s="75" t="s">
        <v>3</v>
      </c>
      <c r="AX10" s="75" t="s">
        <v>4</v>
      </c>
      <c r="AY10" s="75" t="s">
        <v>85</v>
      </c>
      <c r="AZ10" s="75" t="s">
        <v>10</v>
      </c>
      <c r="BA10" s="75" t="s">
        <v>0</v>
      </c>
      <c r="BB10" s="75" t="s">
        <v>7</v>
      </c>
      <c r="BC10" s="75" t="s">
        <v>8</v>
      </c>
      <c r="BD10" s="75" t="s">
        <v>9</v>
      </c>
      <c r="BE10" s="75" t="s">
        <v>11</v>
      </c>
      <c r="BF10" s="75" t="s">
        <v>1</v>
      </c>
      <c r="BG10" s="75" t="s">
        <v>12</v>
      </c>
      <c r="BH10" s="75" t="s">
        <v>88</v>
      </c>
      <c r="BI10" s="75" t="s">
        <v>3</v>
      </c>
      <c r="BJ10" s="75" t="s">
        <v>4</v>
      </c>
      <c r="BK10" s="75" t="s">
        <v>5</v>
      </c>
      <c r="BL10" s="75" t="s">
        <v>10</v>
      </c>
      <c r="BM10" s="75" t="s">
        <v>0</v>
      </c>
      <c r="BN10" s="75" t="s">
        <v>7</v>
      </c>
      <c r="BO10" s="75" t="s">
        <v>8</v>
      </c>
      <c r="BP10" s="75" t="s">
        <v>9</v>
      </c>
      <c r="BQ10" s="75" t="s">
        <v>11</v>
      </c>
      <c r="BR10" s="49" t="s">
        <v>93</v>
      </c>
      <c r="BS10" s="49" t="s">
        <v>94</v>
      </c>
      <c r="BT10" s="75" t="s">
        <v>2</v>
      </c>
      <c r="BU10" s="75" t="s">
        <v>90</v>
      </c>
      <c r="BV10" s="75" t="s">
        <v>4</v>
      </c>
      <c r="BW10" s="75" t="s">
        <v>5</v>
      </c>
      <c r="BX10" s="49" t="s">
        <v>10</v>
      </c>
      <c r="BY10" s="49" t="s">
        <v>0</v>
      </c>
      <c r="BZ10" s="49" t="s">
        <v>7</v>
      </c>
      <c r="CA10" s="49" t="s">
        <v>8</v>
      </c>
      <c r="CB10" s="49" t="s">
        <v>99</v>
      </c>
      <c r="CC10" s="49" t="s">
        <v>100</v>
      </c>
      <c r="CD10" s="49" t="s">
        <v>1</v>
      </c>
      <c r="CE10" s="49" t="s">
        <v>12</v>
      </c>
      <c r="CF10" s="49" t="s">
        <v>2</v>
      </c>
      <c r="CG10" s="49" t="s">
        <v>3</v>
      </c>
      <c r="CH10" s="49" t="s">
        <v>4</v>
      </c>
      <c r="CI10" s="49" t="s">
        <v>5</v>
      </c>
      <c r="CJ10" s="49" t="s">
        <v>107</v>
      </c>
      <c r="CK10" s="49" t="s">
        <v>110</v>
      </c>
      <c r="CL10" s="49" t="s">
        <v>114</v>
      </c>
      <c r="CM10" s="49" t="s">
        <v>8</v>
      </c>
      <c r="CN10" s="49" t="s">
        <v>9</v>
      </c>
      <c r="CO10" s="49" t="s">
        <v>11</v>
      </c>
      <c r="CP10" s="49" t="s">
        <v>1</v>
      </c>
      <c r="CQ10" s="49" t="s">
        <v>12</v>
      </c>
      <c r="CR10" s="88" t="s">
        <v>2</v>
      </c>
      <c r="CS10" s="88" t="s">
        <v>3</v>
      </c>
      <c r="CT10" s="90" t="s">
        <v>4</v>
      </c>
      <c r="CU10" s="91" t="s">
        <v>5</v>
      </c>
    </row>
    <row r="11" spans="2:99" x14ac:dyDescent="0.3">
      <c r="B11" s="67">
        <v>1</v>
      </c>
      <c r="C11" s="68" t="s">
        <v>21</v>
      </c>
      <c r="D11" s="78"/>
      <c r="E11" s="78"/>
      <c r="F11" s="78"/>
      <c r="G11" s="78">
        <v>75694.617240000007</v>
      </c>
      <c r="H11" s="78">
        <v>79723.219169999997</v>
      </c>
      <c r="I11" s="78">
        <v>79806.080910000004</v>
      </c>
      <c r="J11" s="78">
        <v>95610.099170000001</v>
      </c>
      <c r="K11" s="78">
        <v>95714.932620000007</v>
      </c>
      <c r="L11" s="78">
        <v>98472.872399999993</v>
      </c>
      <c r="M11" s="78">
        <v>103986.91131000001</v>
      </c>
      <c r="N11" s="78">
        <v>104012.07256999999</v>
      </c>
      <c r="O11" s="78">
        <v>106938.87583</v>
      </c>
      <c r="P11" s="52">
        <v>112459.85208000001</v>
      </c>
      <c r="Q11" s="52">
        <v>115579.22175</v>
      </c>
      <c r="R11" s="52">
        <v>118634.32746</v>
      </c>
      <c r="S11" s="52">
        <v>121572.76845</v>
      </c>
      <c r="T11" s="52">
        <v>124656.71650000001</v>
      </c>
      <c r="U11" s="52">
        <v>127632.78541</v>
      </c>
      <c r="V11" s="52">
        <v>130736.32670999999</v>
      </c>
      <c r="W11" s="52">
        <v>134053.24718000001</v>
      </c>
      <c r="X11" s="52">
        <v>137066.65774</v>
      </c>
      <c r="Y11" s="52">
        <v>140181.90850999998</v>
      </c>
      <c r="Z11" s="52">
        <v>143294.89079</v>
      </c>
      <c r="AA11" s="52">
        <v>146388.50107</v>
      </c>
      <c r="AB11" s="52">
        <v>149429.12607</v>
      </c>
      <c r="AC11" s="52">
        <v>152465.85595000003</v>
      </c>
      <c r="AD11" s="52">
        <v>155335.75805</v>
      </c>
      <c r="AE11" s="52">
        <v>158447.57449</v>
      </c>
      <c r="AF11" s="52">
        <v>161690.83991000004</v>
      </c>
      <c r="AG11" s="52">
        <v>164902.41965000003</v>
      </c>
      <c r="AH11" s="52">
        <v>168181.78159999999</v>
      </c>
      <c r="AI11" s="52">
        <v>201850.21295000002</v>
      </c>
      <c r="AJ11" s="52">
        <v>205372.62917</v>
      </c>
      <c r="AK11" s="52">
        <v>181978.45221000002</v>
      </c>
      <c r="AL11" s="52">
        <v>214610.26259999999</v>
      </c>
      <c r="AM11" s="52">
        <v>214901.16497000001</v>
      </c>
      <c r="AN11" s="52">
        <v>214676.34898000001</v>
      </c>
      <c r="AO11" s="51">
        <v>217249.18317</v>
      </c>
      <c r="AP11" s="51">
        <v>259827.38329999999</v>
      </c>
      <c r="AQ11" s="51">
        <v>264086.85930000001</v>
      </c>
      <c r="AR11" s="51">
        <v>266633.96498000005</v>
      </c>
      <c r="AS11" s="51">
        <v>269043.05189</v>
      </c>
      <c r="AT11" s="51">
        <v>272137.85358</v>
      </c>
      <c r="AU11" s="51">
        <v>274908.2855</v>
      </c>
      <c r="AV11" s="51">
        <v>278572.85558999999</v>
      </c>
      <c r="AW11" s="51">
        <v>282202.52895000001</v>
      </c>
      <c r="AX11" s="51">
        <v>286524.95299999998</v>
      </c>
      <c r="AY11" s="51">
        <v>289778.85935000004</v>
      </c>
      <c r="AZ11" s="51">
        <v>293312.15129000001</v>
      </c>
      <c r="BA11" s="51">
        <v>292411.49562000006</v>
      </c>
      <c r="BB11" s="51">
        <v>301087.33512</v>
      </c>
      <c r="BC11" s="51">
        <v>305655.50400000007</v>
      </c>
      <c r="BD11" s="51">
        <v>309181.50884000002</v>
      </c>
      <c r="BE11" s="51">
        <v>313378.23868000001</v>
      </c>
      <c r="BF11" s="51">
        <v>317940.98186</v>
      </c>
      <c r="BG11" s="51">
        <v>322323.78662999999</v>
      </c>
      <c r="BH11" s="51">
        <v>326816.41220999998</v>
      </c>
      <c r="BI11" s="51">
        <v>331282.66715999995</v>
      </c>
      <c r="BJ11" s="51">
        <v>330892.79903999995</v>
      </c>
      <c r="BK11" s="51">
        <v>340992.91488000005</v>
      </c>
      <c r="BL11" s="51">
        <v>341192.90028000006</v>
      </c>
      <c r="BM11" s="51">
        <v>346492.15136999998</v>
      </c>
      <c r="BN11" s="51">
        <v>357213.23659999995</v>
      </c>
      <c r="BO11" s="51">
        <v>357308.66392000002</v>
      </c>
      <c r="BP11" s="51">
        <v>362899.37947000004</v>
      </c>
      <c r="BQ11" s="51">
        <v>368723.82351000007</v>
      </c>
      <c r="BR11" s="51">
        <v>376802.76355000009</v>
      </c>
      <c r="BS11" s="51">
        <v>383285.85804000002</v>
      </c>
      <c r="BT11" s="52">
        <v>390663.23988999997</v>
      </c>
      <c r="BU11" s="52">
        <v>396310.47162000003</v>
      </c>
      <c r="BV11" s="52">
        <v>403040.29021000001</v>
      </c>
      <c r="BW11" s="52">
        <v>415042.20556999999</v>
      </c>
      <c r="BX11" s="51">
        <v>415622.50606999994</v>
      </c>
      <c r="BY11" s="51">
        <v>423514.77004999999</v>
      </c>
      <c r="BZ11" s="51">
        <v>435752.67379999999</v>
      </c>
      <c r="CA11" s="51">
        <v>436722.20372000005</v>
      </c>
      <c r="CB11" s="51">
        <v>437478.38364000001</v>
      </c>
      <c r="CC11" s="51">
        <v>438068.45302000002</v>
      </c>
      <c r="CD11" s="51">
        <v>458735.73505999998</v>
      </c>
      <c r="CE11" s="51">
        <v>471037.79149000003</v>
      </c>
      <c r="CF11" s="51">
        <v>472416.70958000002</v>
      </c>
      <c r="CG11" s="51">
        <v>484956.53638000001</v>
      </c>
      <c r="CH11" s="51">
        <v>492224.76750000002</v>
      </c>
      <c r="CI11" s="51">
        <v>500502.36975999997</v>
      </c>
      <c r="CJ11" s="51">
        <v>501142.49078000005</v>
      </c>
      <c r="CK11" s="51">
        <v>501636.95724000002</v>
      </c>
      <c r="CL11" s="51">
        <v>502799.27208999998</v>
      </c>
      <c r="CM11" s="51">
        <f>526333558.17/1000</f>
        <v>526333.55816999997</v>
      </c>
      <c r="CN11" s="51">
        <f>535406745.14/1000</f>
        <v>535406.74514000001</v>
      </c>
      <c r="CO11" s="51">
        <f>549631676.08/1000</f>
        <v>549631.67608</v>
      </c>
      <c r="CP11" s="51">
        <f>+VLOOKUP(B11,'[1]Est. Sit. FSDSFPS'!$A$5:$CL$21,90,0)/1000</f>
        <v>551858.27017000003</v>
      </c>
      <c r="CQ11" s="51">
        <f>570502638.88/1000</f>
        <v>570502.63887999998</v>
      </c>
      <c r="CR11" s="51">
        <f>579394971.49/1000</f>
        <v>579394.97149000003</v>
      </c>
      <c r="CS11" s="51">
        <f>580332425.29/1000</f>
        <v>580332.42528999993</v>
      </c>
      <c r="CT11" s="51">
        <v>597414.51008999988</v>
      </c>
      <c r="CU11" s="51">
        <f>607148364.74/1000</f>
        <v>607148.36473999999</v>
      </c>
    </row>
    <row r="12" spans="2:99" x14ac:dyDescent="0.3">
      <c r="B12" s="67" t="s">
        <v>22</v>
      </c>
      <c r="C12" s="69" t="s">
        <v>23</v>
      </c>
      <c r="D12" s="79"/>
      <c r="E12" s="79"/>
      <c r="F12" s="79"/>
      <c r="G12" s="79">
        <v>15007.142810000001</v>
      </c>
      <c r="H12" s="79">
        <v>18891.521699999998</v>
      </c>
      <c r="I12" s="79">
        <v>18220.143780000002</v>
      </c>
      <c r="J12" s="79">
        <v>33928.404399999999</v>
      </c>
      <c r="K12" s="79">
        <v>29727.727039999998</v>
      </c>
      <c r="L12" s="79">
        <v>42469.57993</v>
      </c>
      <c r="M12" s="79">
        <v>80368.216260000001</v>
      </c>
      <c r="N12" s="79">
        <v>69824.786630000002</v>
      </c>
      <c r="O12" s="79">
        <v>72529.60441</v>
      </c>
      <c r="P12" s="80">
        <v>77945.369500000001</v>
      </c>
      <c r="Q12" s="80">
        <v>66081.821079999994</v>
      </c>
      <c r="R12" s="80">
        <v>58407.429229999994</v>
      </c>
      <c r="S12" s="80">
        <v>40890.248450000006</v>
      </c>
      <c r="T12" s="80">
        <v>43824.354490000005</v>
      </c>
      <c r="U12" s="80">
        <v>26324.40739</v>
      </c>
      <c r="V12" s="80">
        <v>54347.630429999997</v>
      </c>
      <c r="W12" s="80">
        <v>72674.33597</v>
      </c>
      <c r="X12" s="80">
        <v>66537.491280000002</v>
      </c>
      <c r="Y12" s="80">
        <v>71383.12337999999</v>
      </c>
      <c r="Z12" s="80">
        <v>74430.771919999999</v>
      </c>
      <c r="AA12" s="80">
        <v>77467.321530000001</v>
      </c>
      <c r="AB12" s="80">
        <v>80585.337430000014</v>
      </c>
      <c r="AC12" s="80">
        <v>83508.125180000003</v>
      </c>
      <c r="AD12" s="55">
        <v>41582.043619999997</v>
      </c>
      <c r="AE12" s="55">
        <v>26552.664399999998</v>
      </c>
      <c r="AF12" s="55">
        <v>15962.509470000001</v>
      </c>
      <c r="AG12" s="55">
        <v>19126.463800000001</v>
      </c>
      <c r="AH12" s="55">
        <v>22521.57501</v>
      </c>
      <c r="AI12" s="55">
        <v>55593.736490000003</v>
      </c>
      <c r="AJ12" s="55">
        <v>58440.405639999997</v>
      </c>
      <c r="AK12" s="55">
        <v>71891.692219999997</v>
      </c>
      <c r="AL12" s="55">
        <v>75204.688349999997</v>
      </c>
      <c r="AM12" s="55">
        <v>79053.09298999999</v>
      </c>
      <c r="AN12" s="55">
        <v>63363.549119999996</v>
      </c>
      <c r="AO12" s="54">
        <v>67377.901159999994</v>
      </c>
      <c r="AP12" s="54">
        <v>70706.900320000001</v>
      </c>
      <c r="AQ12" s="54">
        <v>75562.349060000008</v>
      </c>
      <c r="AR12" s="54">
        <v>78854.812040000004</v>
      </c>
      <c r="AS12" s="54">
        <v>78617.310539999991</v>
      </c>
      <c r="AT12" s="54">
        <v>84053.024780000007</v>
      </c>
      <c r="AU12" s="54">
        <v>88033.612439999997</v>
      </c>
      <c r="AV12" s="54">
        <v>68302.254939999999</v>
      </c>
      <c r="AW12" s="54">
        <v>72553.321620000002</v>
      </c>
      <c r="AX12" s="54">
        <v>80284.073940000002</v>
      </c>
      <c r="AY12" s="54">
        <v>87023.170290000009</v>
      </c>
      <c r="AZ12" s="54">
        <v>91742.258809999999</v>
      </c>
      <c r="BA12" s="54">
        <v>91756.830490000008</v>
      </c>
      <c r="BB12" s="54">
        <v>108750.18524999999</v>
      </c>
      <c r="BC12" s="54">
        <v>111824.85712999999</v>
      </c>
      <c r="BD12" s="54">
        <v>114569.31934</v>
      </c>
      <c r="BE12" s="54">
        <v>117087.92942</v>
      </c>
      <c r="BF12" s="54">
        <v>121764.84967</v>
      </c>
      <c r="BG12" s="54">
        <v>125108.8423</v>
      </c>
      <c r="BH12" s="54">
        <v>131536.46808999998</v>
      </c>
      <c r="BI12" s="54">
        <v>137414.50313</v>
      </c>
      <c r="BJ12" s="54">
        <v>137633.39891999998</v>
      </c>
      <c r="BK12" s="54">
        <v>149327.41668999998</v>
      </c>
      <c r="BL12" s="54">
        <v>124364.52856999999</v>
      </c>
      <c r="BM12" s="54">
        <v>129110.68061999998</v>
      </c>
      <c r="BN12" s="54">
        <v>145774.14247999998</v>
      </c>
      <c r="BO12" s="54">
        <v>125865.73856999999</v>
      </c>
      <c r="BP12" s="54">
        <v>129295.92067000001</v>
      </c>
      <c r="BQ12" s="54">
        <v>134711.0784</v>
      </c>
      <c r="BR12" s="54">
        <v>142150.08091000002</v>
      </c>
      <c r="BS12" s="54">
        <v>152552.60886000001</v>
      </c>
      <c r="BT12" s="55">
        <v>57174.898829999998</v>
      </c>
      <c r="BU12" s="55">
        <v>169453.94308000003</v>
      </c>
      <c r="BV12" s="55">
        <v>136324.36297999998</v>
      </c>
      <c r="BW12" s="55">
        <v>140562.26058</v>
      </c>
      <c r="BX12" s="54">
        <v>174419.14129</v>
      </c>
      <c r="BY12" s="54">
        <v>87818.778449999998</v>
      </c>
      <c r="BZ12" s="54">
        <v>85577.666360000003</v>
      </c>
      <c r="CA12" s="54">
        <v>68059.570619999999</v>
      </c>
      <c r="CB12" s="54">
        <v>137110.32373000003</v>
      </c>
      <c r="CC12" s="54">
        <v>147121.65046</v>
      </c>
      <c r="CD12" s="54">
        <v>169278.74995</v>
      </c>
      <c r="CE12" s="54">
        <v>151309.62677999999</v>
      </c>
      <c r="CF12" s="54">
        <v>111972.39604000001</v>
      </c>
      <c r="CG12" s="54">
        <v>183580.3095</v>
      </c>
      <c r="CH12" s="54">
        <v>140843.25975999999</v>
      </c>
      <c r="CI12" s="54">
        <v>140626.03</v>
      </c>
      <c r="CJ12" s="54">
        <v>122495.85767</v>
      </c>
      <c r="CK12" s="54">
        <v>127820.23404</v>
      </c>
      <c r="CL12" s="54">
        <v>106163.9368</v>
      </c>
      <c r="CM12" s="54">
        <f>127939991.01/1000</f>
        <v>127939.99101000001</v>
      </c>
      <c r="CN12" s="54">
        <f>136666262.29/1000</f>
        <v>136666.26228999998</v>
      </c>
      <c r="CO12" s="54">
        <f>150704724.99/1000</f>
        <v>150704.72499000002</v>
      </c>
      <c r="CP12" s="54">
        <f>+VLOOKUP(B12,'[1]Est. Sit. FSDSFPS'!$A$5:$CL$21,90,0)/1000</f>
        <v>132739.23123999999</v>
      </c>
      <c r="CQ12" s="54">
        <f>126123416.41/1000</f>
        <v>126123.41640999999</v>
      </c>
      <c r="CR12" s="54">
        <f>131649007.63/1000</f>
        <v>131649.00763000001</v>
      </c>
      <c r="CS12" s="54">
        <f>132745916.44/1000</f>
        <v>132745.91644</v>
      </c>
      <c r="CT12" s="54">
        <v>154527.59713000001</v>
      </c>
      <c r="CU12" s="54">
        <f>141501070.75/1000</f>
        <v>141501.07075000001</v>
      </c>
    </row>
    <row r="13" spans="2:99" x14ac:dyDescent="0.3">
      <c r="B13" s="67" t="s">
        <v>24</v>
      </c>
      <c r="C13" s="69" t="s">
        <v>25</v>
      </c>
      <c r="D13" s="79"/>
      <c r="E13" s="79"/>
      <c r="F13" s="79"/>
      <c r="G13" s="79">
        <v>60120.081130000006</v>
      </c>
      <c r="H13" s="79">
        <v>60203.481189999999</v>
      </c>
      <c r="I13" s="79">
        <v>60286.165590000004</v>
      </c>
      <c r="J13" s="79">
        <v>60374.132969999999</v>
      </c>
      <c r="K13" s="79">
        <v>64669.994810000004</v>
      </c>
      <c r="L13" s="79">
        <v>54686.729319999999</v>
      </c>
      <c r="M13" s="79">
        <v>12020.46</v>
      </c>
      <c r="N13" s="79">
        <v>22060.127519999998</v>
      </c>
      <c r="O13" s="79">
        <v>22085.004649999999</v>
      </c>
      <c r="P13" s="80">
        <v>22128.729030000002</v>
      </c>
      <c r="Q13" s="80">
        <v>32128.729030000002</v>
      </c>
      <c r="R13" s="80">
        <v>42673.163939999999</v>
      </c>
      <c r="S13" s="80">
        <v>62752.24353</v>
      </c>
      <c r="T13" s="80">
        <v>62850.921820000003</v>
      </c>
      <c r="U13" s="80">
        <v>82907.101730000009</v>
      </c>
      <c r="V13" s="80">
        <v>57993.172549999996</v>
      </c>
      <c r="W13" s="80">
        <v>42927.980510000001</v>
      </c>
      <c r="X13" s="80">
        <v>43404.651389999999</v>
      </c>
      <c r="Y13" s="80">
        <v>42904.651389999999</v>
      </c>
      <c r="Z13" s="80">
        <v>42904.651389999999</v>
      </c>
      <c r="AA13" s="80">
        <v>42904.651389999999</v>
      </c>
      <c r="AB13" s="80">
        <v>42904.651389999999</v>
      </c>
      <c r="AC13" s="80">
        <v>42904.651389999999</v>
      </c>
      <c r="AD13" s="55">
        <v>87709.604650000008</v>
      </c>
      <c r="AE13" s="55">
        <v>105754.65026000001</v>
      </c>
      <c r="AF13" s="55">
        <v>119382.06061</v>
      </c>
      <c r="AG13" s="55">
        <v>119507.52868</v>
      </c>
      <c r="AH13" s="55">
        <v>119311.41996</v>
      </c>
      <c r="AI13" s="55">
        <v>119216.0865</v>
      </c>
      <c r="AJ13" s="55">
        <v>119202.19898</v>
      </c>
      <c r="AK13" s="55">
        <v>109531.1992</v>
      </c>
      <c r="AL13" s="55">
        <v>109653.27772</v>
      </c>
      <c r="AM13" s="55">
        <v>109779.94339</v>
      </c>
      <c r="AN13" s="55">
        <v>129732.12118999999</v>
      </c>
      <c r="AO13" s="54">
        <v>129554.45437000001</v>
      </c>
      <c r="AP13" s="54">
        <v>169510.80224000002</v>
      </c>
      <c r="AQ13" s="54">
        <v>169455.59641999999</v>
      </c>
      <c r="AR13" s="54">
        <v>169579.19238999998</v>
      </c>
      <c r="AS13" s="54">
        <v>170149.15513999999</v>
      </c>
      <c r="AT13" s="54">
        <v>170274.48416999998</v>
      </c>
      <c r="AU13" s="54">
        <v>170132.98237000001</v>
      </c>
      <c r="AV13" s="54">
        <v>195257.85475999999</v>
      </c>
      <c r="AW13" s="54">
        <v>195380.59615</v>
      </c>
      <c r="AX13" s="54">
        <v>190465.85418999998</v>
      </c>
      <c r="AY13" s="54">
        <v>185413.58238000001</v>
      </c>
      <c r="AZ13" s="54">
        <v>185715.04786000002</v>
      </c>
      <c r="BA13" s="54">
        <v>185562.76472000001</v>
      </c>
      <c r="BB13" s="54">
        <v>179172.73355</v>
      </c>
      <c r="BC13" s="54">
        <v>179301.87646</v>
      </c>
      <c r="BD13" s="54">
        <v>180801.64963999999</v>
      </c>
      <c r="BE13" s="54">
        <v>183776.40143999999</v>
      </c>
      <c r="BF13" s="54">
        <v>184569.83150999999</v>
      </c>
      <c r="BG13" s="54">
        <v>186363.45708000002</v>
      </c>
      <c r="BH13" s="54">
        <v>186337.95058999999</v>
      </c>
      <c r="BI13" s="54">
        <v>186485.33300000001</v>
      </c>
      <c r="BJ13" s="54">
        <v>186628.64336000002</v>
      </c>
      <c r="BK13" s="54">
        <v>185193.5944</v>
      </c>
      <c r="BL13" s="54">
        <v>210320.10141999999</v>
      </c>
      <c r="BM13" s="54">
        <v>210939.72224999999</v>
      </c>
      <c r="BN13" s="54">
        <v>206563.26880000002</v>
      </c>
      <c r="BO13" s="54">
        <v>226805.29115999999</v>
      </c>
      <c r="BP13" s="54">
        <v>228874.61887999999</v>
      </c>
      <c r="BQ13" s="54">
        <v>229361.76157</v>
      </c>
      <c r="BR13" s="54">
        <v>230775.97128</v>
      </c>
      <c r="BS13" s="54">
        <v>228394.98827</v>
      </c>
      <c r="BT13" s="55">
        <v>330940.27254000003</v>
      </c>
      <c r="BU13" s="55">
        <v>224155.82809</v>
      </c>
      <c r="BV13" s="55">
        <v>263826.95165</v>
      </c>
      <c r="BW13" s="55">
        <v>271269.54843000002</v>
      </c>
      <c r="BX13" s="54">
        <v>234948.31151</v>
      </c>
      <c r="BY13" s="54">
        <v>329282.58743000001</v>
      </c>
      <c r="BZ13" s="54">
        <v>343617.21745999996</v>
      </c>
      <c r="CA13" s="54">
        <v>362329.07737000001</v>
      </c>
      <c r="CB13" s="54">
        <v>293721.80776999996</v>
      </c>
      <c r="CC13" s="54">
        <v>283967.65664999996</v>
      </c>
      <c r="CD13" s="54">
        <v>282781.24624000001</v>
      </c>
      <c r="CE13" s="54">
        <v>312583.17958</v>
      </c>
      <c r="CF13" s="54">
        <v>353583.8898</v>
      </c>
      <c r="CG13" s="54">
        <v>294536.42588</v>
      </c>
      <c r="CH13" s="54">
        <v>344304.44151999999</v>
      </c>
      <c r="CI13" s="54">
        <v>352383.18219999998</v>
      </c>
      <c r="CJ13" s="54">
        <v>372522.13887999998</v>
      </c>
      <c r="CK13" s="54">
        <v>368372.60343999998</v>
      </c>
      <c r="CL13" s="54">
        <v>391822.76949999999</v>
      </c>
      <c r="CM13" s="54">
        <f>394474345.51/1000</f>
        <v>394474.34551000001</v>
      </c>
      <c r="CN13" s="54">
        <f>394431166.82/1000</f>
        <v>394431.16681999998</v>
      </c>
      <c r="CO13" s="54">
        <f>393859637.86/1000</f>
        <v>393859.63786000002</v>
      </c>
      <c r="CP13" s="54">
        <f>+VLOOKUP(B13,'[1]Est. Sit. FSDSFPS'!$A$5:$CL$21,90,0)/1000</f>
        <v>414052.88848000002</v>
      </c>
      <c r="CQ13" s="54">
        <f>438908953.85/1000</f>
        <v>438908.95385000005</v>
      </c>
      <c r="CR13" s="54">
        <f>442697495.19/1000</f>
        <v>442697.49518999999</v>
      </c>
      <c r="CS13" s="54">
        <f>442645220.55/1000</f>
        <v>442645.22055000003</v>
      </c>
      <c r="CT13" s="54">
        <v>437504.04417000001</v>
      </c>
      <c r="CU13" s="54">
        <f>459849342.11/1000</f>
        <v>459849.34211000003</v>
      </c>
    </row>
    <row r="14" spans="2:99" x14ac:dyDescent="0.3">
      <c r="B14" s="67" t="s">
        <v>26</v>
      </c>
      <c r="C14" s="69" t="s">
        <v>27</v>
      </c>
      <c r="D14" s="79"/>
      <c r="E14" s="79"/>
      <c r="F14" s="79"/>
      <c r="G14" s="79">
        <v>567.39330000000007</v>
      </c>
      <c r="H14" s="79">
        <v>628.21627999999998</v>
      </c>
      <c r="I14" s="79">
        <v>1299.77154</v>
      </c>
      <c r="J14" s="79">
        <v>1307.5617999999999</v>
      </c>
      <c r="K14" s="79">
        <v>1317.2107699999999</v>
      </c>
      <c r="L14" s="79">
        <v>1316.56315</v>
      </c>
      <c r="M14" s="79">
        <v>11598.235050000001</v>
      </c>
      <c r="N14" s="79">
        <v>12127.15842</v>
      </c>
      <c r="O14" s="79">
        <v>12324.26677</v>
      </c>
      <c r="P14" s="80">
        <v>12385.753550000001</v>
      </c>
      <c r="Q14" s="80">
        <v>17368.67164</v>
      </c>
      <c r="R14" s="80">
        <v>17553.73429</v>
      </c>
      <c r="S14" s="80">
        <v>17930.276469999997</v>
      </c>
      <c r="T14" s="80">
        <v>17981.440190000001</v>
      </c>
      <c r="U14" s="80">
        <v>18401.276289999998</v>
      </c>
      <c r="V14" s="80">
        <v>18395.523730000001</v>
      </c>
      <c r="W14" s="80">
        <v>18450.930700000001</v>
      </c>
      <c r="X14" s="80">
        <v>27124.515070000001</v>
      </c>
      <c r="Y14" s="80">
        <v>25894.133739999997</v>
      </c>
      <c r="Z14" s="80">
        <v>25959.467479999999</v>
      </c>
      <c r="AA14" s="80">
        <v>26016.528149999998</v>
      </c>
      <c r="AB14" s="80">
        <v>25939.13725</v>
      </c>
      <c r="AC14" s="80">
        <v>26053.079379999999</v>
      </c>
      <c r="AD14" s="55">
        <v>26044.109780000003</v>
      </c>
      <c r="AE14" s="55">
        <v>26140.259829999999</v>
      </c>
      <c r="AF14" s="55">
        <v>26346.269829999997</v>
      </c>
      <c r="AG14" s="55">
        <v>26268.427170000003</v>
      </c>
      <c r="AH14" s="55">
        <v>26348.786629999999</v>
      </c>
      <c r="AI14" s="55">
        <v>27040.38996</v>
      </c>
      <c r="AJ14" s="55">
        <v>27730.024550000002</v>
      </c>
      <c r="AK14" s="55">
        <v>555.56079</v>
      </c>
      <c r="AL14" s="55">
        <v>29752.296529999996</v>
      </c>
      <c r="AM14" s="55">
        <v>26068.12859</v>
      </c>
      <c r="AN14" s="55">
        <v>21580.678670000001</v>
      </c>
      <c r="AO14" s="54">
        <v>20316.82764</v>
      </c>
      <c r="AP14" s="54">
        <v>19609.68074</v>
      </c>
      <c r="AQ14" s="54">
        <v>19068.913820000002</v>
      </c>
      <c r="AR14" s="54">
        <v>18199.96055</v>
      </c>
      <c r="AS14" s="54">
        <v>20276.586210000001</v>
      </c>
      <c r="AT14" s="54">
        <v>17810.34463</v>
      </c>
      <c r="AU14" s="54">
        <v>16741.690689999999</v>
      </c>
      <c r="AV14" s="54">
        <v>15012.74589</v>
      </c>
      <c r="AW14" s="54">
        <v>14268.61118</v>
      </c>
      <c r="AX14" s="54">
        <v>15775.024869999999</v>
      </c>
      <c r="AY14" s="54">
        <v>17342.106680000001</v>
      </c>
      <c r="AZ14" s="54">
        <v>15854.84462</v>
      </c>
      <c r="BA14" s="54">
        <v>15091.90041</v>
      </c>
      <c r="BB14" s="54">
        <v>13164.41632</v>
      </c>
      <c r="BC14" s="54">
        <v>14528.770410000001</v>
      </c>
      <c r="BD14" s="54">
        <v>13810.539859999999</v>
      </c>
      <c r="BE14" s="54">
        <v>12513.90782</v>
      </c>
      <c r="BF14" s="54">
        <v>11606.30068</v>
      </c>
      <c r="BG14" s="54">
        <v>10851.48725</v>
      </c>
      <c r="BH14" s="54">
        <v>8941.9935299999997</v>
      </c>
      <c r="BI14" s="54">
        <v>7382.8310300000003</v>
      </c>
      <c r="BJ14" s="54">
        <v>6630.7567600000002</v>
      </c>
      <c r="BK14" s="54">
        <v>6471.9037900000003</v>
      </c>
      <c r="BL14" s="54">
        <v>6508.2702900000004</v>
      </c>
      <c r="BM14" s="54">
        <v>6441.7484999999997</v>
      </c>
      <c r="BN14" s="54">
        <v>4875.8253199999999</v>
      </c>
      <c r="BO14" s="54">
        <v>4637.6341900000007</v>
      </c>
      <c r="BP14" s="54">
        <v>4728.8399200000003</v>
      </c>
      <c r="BQ14" s="54">
        <v>4650.9835400000002</v>
      </c>
      <c r="BR14" s="54">
        <v>3876.7113599999998</v>
      </c>
      <c r="BS14" s="54">
        <v>2338.26091</v>
      </c>
      <c r="BT14" s="55">
        <v>2548.0685199999998</v>
      </c>
      <c r="BU14" s="55">
        <v>2700.7004500000003</v>
      </c>
      <c r="BV14" s="55">
        <v>2888.9755800000003</v>
      </c>
      <c r="BW14" s="55">
        <v>3210.3965600000001</v>
      </c>
      <c r="BX14" s="54">
        <v>6255.0532699999994</v>
      </c>
      <c r="BY14" s="54">
        <v>6413.4041699999998</v>
      </c>
      <c r="BZ14" s="54">
        <v>6557.7899800000005</v>
      </c>
      <c r="CA14" s="54">
        <v>6333.5557299999991</v>
      </c>
      <c r="CB14" s="54">
        <v>6646.2521400000005</v>
      </c>
      <c r="CC14" s="54">
        <v>6979.1459100000002</v>
      </c>
      <c r="CD14" s="54">
        <v>6675.7388700000001</v>
      </c>
      <c r="CE14" s="54">
        <v>7144.98513</v>
      </c>
      <c r="CF14" s="54">
        <v>6860.4237400000002</v>
      </c>
      <c r="CG14" s="54">
        <v>6839.8010000000004</v>
      </c>
      <c r="CH14" s="54">
        <v>7077.0662199999997</v>
      </c>
      <c r="CI14" s="54">
        <v>7493.1575599999996</v>
      </c>
      <c r="CJ14" s="54">
        <v>6124.4942300000002</v>
      </c>
      <c r="CK14" s="54">
        <v>5444.1197599999996</v>
      </c>
      <c r="CL14" s="54">
        <v>4812.5657899999997</v>
      </c>
      <c r="CM14" s="54">
        <f>3919221.65/1000</f>
        <v>3919.22165</v>
      </c>
      <c r="CN14" s="54">
        <f>4309316.03/1000</f>
        <v>4309.31603</v>
      </c>
      <c r="CO14" s="54">
        <f>5067313.23/1000</f>
        <v>5067.3132300000007</v>
      </c>
      <c r="CP14" s="54">
        <f>+VLOOKUP(B14,'[1]Est. Sit. FSDSFPS'!$A$5:$CL$21,90,0)/1000</f>
        <v>5066.1504500000001</v>
      </c>
      <c r="CQ14" s="54">
        <f>5470268.62/1000</f>
        <v>5470.2686199999998</v>
      </c>
      <c r="CR14" s="54">
        <f>5048468.67/1000</f>
        <v>5048.4686700000002</v>
      </c>
      <c r="CS14" s="54">
        <f>4941288.3/1000</f>
        <v>4941.2883000000002</v>
      </c>
      <c r="CT14" s="54">
        <v>5382.8687900000004</v>
      </c>
      <c r="CU14" s="54">
        <f>5979951.88/1000</f>
        <v>5979.9518799999996</v>
      </c>
    </row>
    <row r="15" spans="2:99" x14ac:dyDescent="0.3">
      <c r="B15" s="67">
        <v>4</v>
      </c>
      <c r="C15" s="69" t="s">
        <v>57</v>
      </c>
      <c r="D15" s="79"/>
      <c r="E15" s="79"/>
      <c r="F15" s="79"/>
      <c r="G15" s="79"/>
      <c r="H15" s="79"/>
      <c r="I15" s="79"/>
      <c r="J15" s="79"/>
      <c r="K15" s="79"/>
      <c r="L15" s="79"/>
      <c r="M15" s="79"/>
      <c r="N15" s="79"/>
      <c r="O15" s="79"/>
      <c r="P15" s="80"/>
      <c r="Q15" s="80"/>
      <c r="R15" s="80"/>
      <c r="S15" s="80"/>
      <c r="T15" s="80"/>
      <c r="U15" s="80"/>
      <c r="V15" s="80"/>
      <c r="W15" s="80"/>
      <c r="X15" s="80"/>
      <c r="Y15" s="80"/>
      <c r="Z15" s="80"/>
      <c r="AA15" s="80"/>
      <c r="AB15" s="80"/>
      <c r="AC15" s="80"/>
      <c r="AD15" s="55"/>
      <c r="AE15" s="55"/>
      <c r="AF15" s="55"/>
      <c r="AG15" s="55"/>
      <c r="AH15" s="55"/>
      <c r="AI15" s="55"/>
      <c r="AJ15" s="55">
        <v>39.698509999999999</v>
      </c>
      <c r="AK15" s="55">
        <v>64.360010000000003</v>
      </c>
      <c r="AL15" s="55">
        <v>87.67446000000001</v>
      </c>
      <c r="AM15" s="55">
        <v>4278.23704</v>
      </c>
      <c r="AN15" s="55">
        <v>4127.1987200000003</v>
      </c>
      <c r="AO15" s="54">
        <v>5937.63681</v>
      </c>
      <c r="AP15" s="54">
        <v>7811.62039</v>
      </c>
      <c r="AQ15" s="54">
        <v>9529.2062899999983</v>
      </c>
      <c r="AR15" s="54">
        <v>11410.51649</v>
      </c>
      <c r="AS15" s="54">
        <v>13588.449470000001</v>
      </c>
      <c r="AT15" s="54">
        <v>15650.01893</v>
      </c>
      <c r="AU15" s="54">
        <v>17790.29248</v>
      </c>
      <c r="AV15" s="54">
        <v>18961.852480000001</v>
      </c>
      <c r="AW15" s="54">
        <v>20137.92337</v>
      </c>
      <c r="AX15" s="54">
        <v>21433.7461</v>
      </c>
      <c r="AY15" s="54">
        <v>0</v>
      </c>
      <c r="AZ15" s="54">
        <v>1437.0826399999999</v>
      </c>
      <c r="BA15" s="54">
        <v>2841.75855</v>
      </c>
      <c r="BB15" s="54">
        <v>4253.5074699999996</v>
      </c>
      <c r="BC15" s="54">
        <v>5667.7317899999998</v>
      </c>
      <c r="BD15" s="54">
        <v>7076.7218499999999</v>
      </c>
      <c r="BE15" s="54">
        <v>8474.5435399999988</v>
      </c>
      <c r="BF15" s="54">
        <v>9756.306779999999</v>
      </c>
      <c r="BG15" s="54">
        <v>11033.47234</v>
      </c>
      <c r="BH15" s="54">
        <v>12279.357049999999</v>
      </c>
      <c r="BI15" s="54">
        <v>13519.173469999998</v>
      </c>
      <c r="BJ15" s="54">
        <v>14774.261119999999</v>
      </c>
      <c r="BK15" s="54"/>
      <c r="BL15" s="54">
        <v>683.99734999999998</v>
      </c>
      <c r="BM15" s="54">
        <v>1354.0787399999999</v>
      </c>
      <c r="BN15" s="54">
        <v>2044.8483100000001</v>
      </c>
      <c r="BO15" s="54">
        <v>2711.9595600000002</v>
      </c>
      <c r="BP15" s="54">
        <v>3411.28406</v>
      </c>
      <c r="BQ15" s="54">
        <v>3901.7211999999995</v>
      </c>
      <c r="BR15" s="54">
        <v>4392.7564499999989</v>
      </c>
      <c r="BS15" s="54">
        <v>4699.5591699999995</v>
      </c>
      <c r="BT15" s="55">
        <v>4703.9409900000001</v>
      </c>
      <c r="BU15" s="55">
        <v>4921.2025100000001</v>
      </c>
      <c r="BV15" s="55">
        <v>5194.0924299999997</v>
      </c>
      <c r="BW15" s="55">
        <v>0</v>
      </c>
      <c r="BX15" s="54">
        <v>298.56882999999999</v>
      </c>
      <c r="BY15" s="54">
        <v>611.54336999999998</v>
      </c>
      <c r="BZ15" s="54">
        <v>925.32568000000003</v>
      </c>
      <c r="CA15" s="54">
        <v>1255.8620600000002</v>
      </c>
      <c r="CB15" s="54">
        <v>1635.1070099999999</v>
      </c>
      <c r="CC15" s="54">
        <v>1947.127</v>
      </c>
      <c r="CD15" s="54">
        <v>2264.9323899999999</v>
      </c>
      <c r="CE15" s="54">
        <v>2576.43561</v>
      </c>
      <c r="CF15" s="54">
        <v>2905.1918100000003</v>
      </c>
      <c r="CG15" s="54">
        <v>3210.1664700000001</v>
      </c>
      <c r="CH15" s="54">
        <v>3516.2721900000001</v>
      </c>
      <c r="CI15" s="54">
        <v>0</v>
      </c>
      <c r="CJ15" s="54">
        <v>322.93847999999997</v>
      </c>
      <c r="CK15" s="54">
        <v>688.46438000000001</v>
      </c>
      <c r="CL15" s="54">
        <v>1018.11883</v>
      </c>
      <c r="CM15" s="54">
        <f>1298506.34/1000</f>
        <v>1298.5063400000001</v>
      </c>
      <c r="CN15" s="54">
        <f>1594490.15/1000</f>
        <v>1594.4901499999999</v>
      </c>
      <c r="CO15" s="54">
        <f>1892974.2/1000</f>
        <v>1892.9741999999999</v>
      </c>
      <c r="CP15" s="54">
        <f>+VLOOKUP(B15,'[1]Est. Sit. FSDSFPS'!$A$5:$CL$21,90,0)/1000</f>
        <v>2174.5834100000002</v>
      </c>
      <c r="CQ15" s="54">
        <f>2462750.36/1000</f>
        <v>2462.75036</v>
      </c>
      <c r="CR15" s="54">
        <f>2745356.89/1000</f>
        <v>2745.35689</v>
      </c>
      <c r="CS15" s="54">
        <f>3030401.74/1000</f>
        <v>3030.4017400000002</v>
      </c>
      <c r="CT15" s="54">
        <v>3318.4121399999999</v>
      </c>
      <c r="CU15" s="51">
        <v>0</v>
      </c>
    </row>
    <row r="16" spans="2:99" x14ac:dyDescent="0.3">
      <c r="B16" s="70">
        <v>8</v>
      </c>
      <c r="C16" s="71" t="s">
        <v>63</v>
      </c>
      <c r="D16" s="81"/>
      <c r="E16" s="81"/>
      <c r="F16" s="81"/>
      <c r="G16" s="81"/>
      <c r="H16" s="81"/>
      <c r="I16" s="81"/>
      <c r="J16" s="81"/>
      <c r="K16" s="81"/>
      <c r="L16" s="81"/>
      <c r="M16" s="81"/>
      <c r="N16" s="81"/>
      <c r="O16" s="81"/>
      <c r="P16" s="82"/>
      <c r="Q16" s="82"/>
      <c r="R16" s="82"/>
      <c r="S16" s="82"/>
      <c r="T16" s="82"/>
      <c r="U16" s="82"/>
      <c r="V16" s="82"/>
      <c r="W16" s="82"/>
      <c r="X16" s="82"/>
      <c r="Y16" s="82"/>
      <c r="Z16" s="82"/>
      <c r="AA16" s="82"/>
      <c r="AB16" s="82"/>
      <c r="AC16" s="82"/>
      <c r="AD16" s="83"/>
      <c r="AE16" s="83"/>
      <c r="AF16" s="83"/>
      <c r="AG16" s="83"/>
      <c r="AH16" s="83"/>
      <c r="AI16" s="83"/>
      <c r="AJ16" s="59">
        <f>+AJ11+AJ15</f>
        <v>205412.32767999999</v>
      </c>
      <c r="AK16" s="59">
        <v>182042.81221999999</v>
      </c>
      <c r="AL16" s="59">
        <v>214697.93706</v>
      </c>
      <c r="AM16" s="59">
        <v>219179.40200999999</v>
      </c>
      <c r="AN16" s="59">
        <v>218803.5477</v>
      </c>
      <c r="AO16" s="58">
        <v>223186.81998000003</v>
      </c>
      <c r="AP16" s="58">
        <v>267639.00368999998</v>
      </c>
      <c r="AQ16" s="58">
        <v>273616.06558999995</v>
      </c>
      <c r="AR16" s="58">
        <v>278044.48147000006</v>
      </c>
      <c r="AS16" s="58">
        <v>282631.50135999999</v>
      </c>
      <c r="AT16" s="58">
        <v>287787.87251000002</v>
      </c>
      <c r="AU16" s="58">
        <v>292698.57798</v>
      </c>
      <c r="AV16" s="58">
        <v>297534.70806999999</v>
      </c>
      <c r="AW16" s="58">
        <v>302340.45231999998</v>
      </c>
      <c r="AX16" s="58">
        <v>307958.69910000003</v>
      </c>
      <c r="AY16" s="58">
        <v>289778.85935000004</v>
      </c>
      <c r="AZ16" s="58">
        <v>294749.23392999999</v>
      </c>
      <c r="BA16" s="58">
        <v>295253.25417000009</v>
      </c>
      <c r="BB16" s="58">
        <v>305340.84259000001</v>
      </c>
      <c r="BC16" s="58">
        <v>311323.23579000006</v>
      </c>
      <c r="BD16" s="58">
        <v>316258.23069000005</v>
      </c>
      <c r="BE16" s="58">
        <v>321852.78222000005</v>
      </c>
      <c r="BF16" s="58">
        <v>327697.28863999998</v>
      </c>
      <c r="BG16" s="58">
        <v>333357.25896999997</v>
      </c>
      <c r="BH16" s="58">
        <v>339095.76925999997</v>
      </c>
      <c r="BI16" s="58">
        <v>344801.84062999999</v>
      </c>
      <c r="BJ16" s="58">
        <v>345667.06015999999</v>
      </c>
      <c r="BK16" s="58">
        <v>340992.91488000005</v>
      </c>
      <c r="BL16" s="58">
        <v>341876.89763000008</v>
      </c>
      <c r="BM16" s="58">
        <v>347846.23011</v>
      </c>
      <c r="BN16" s="58">
        <v>359258.08490999998</v>
      </c>
      <c r="BO16" s="58">
        <v>360020.62348000001</v>
      </c>
      <c r="BP16" s="58">
        <v>366310.66353000002</v>
      </c>
      <c r="BQ16" s="58">
        <v>372625.54471000005</v>
      </c>
      <c r="BR16" s="58">
        <v>381195.52000000008</v>
      </c>
      <c r="BS16" s="58">
        <v>387985.41721000004</v>
      </c>
      <c r="BT16" s="58">
        <v>395367.18088</v>
      </c>
      <c r="BU16" s="58">
        <v>401231.67413</v>
      </c>
      <c r="BV16" s="58">
        <v>408234.38263999997</v>
      </c>
      <c r="BW16" s="58">
        <v>415042.20556999999</v>
      </c>
      <c r="BX16" s="58">
        <v>415921.07489999989</v>
      </c>
      <c r="BY16" s="58">
        <v>424126.31342000002</v>
      </c>
      <c r="BZ16" s="58">
        <v>436677.99948</v>
      </c>
      <c r="CA16" s="58">
        <v>437978.06578</v>
      </c>
      <c r="CB16" s="58">
        <v>439113.49064999999</v>
      </c>
      <c r="CC16" s="58">
        <v>440015.58002000005</v>
      </c>
      <c r="CD16" s="58">
        <v>461000.66745000001</v>
      </c>
      <c r="CE16" s="58">
        <v>473614.22710000002</v>
      </c>
      <c r="CF16" s="58">
        <v>475321.90139000007</v>
      </c>
      <c r="CG16" s="58">
        <v>488166.70285</v>
      </c>
      <c r="CH16" s="58">
        <v>495741.03969000001</v>
      </c>
      <c r="CI16" s="58">
        <v>500502.36975999997</v>
      </c>
      <c r="CJ16" s="58">
        <v>501465.42926000006</v>
      </c>
      <c r="CK16" s="58">
        <v>502325.42161999998</v>
      </c>
      <c r="CL16" s="58">
        <v>503817.39092000003</v>
      </c>
      <c r="CM16" s="58">
        <f>527632064.51/1000</f>
        <v>527632.06450999994</v>
      </c>
      <c r="CN16" s="58">
        <f>537001235.29/1000</f>
        <v>537001.23528999998</v>
      </c>
      <c r="CO16" s="58">
        <f>551524650.28/1000</f>
        <v>551524.65027999994</v>
      </c>
      <c r="CP16" s="58">
        <f>+VLOOKUP(B16,'[1]Est. Sit. FSDSFPS'!$A$5:$CL$21,90,0)/1000</f>
        <v>554032.85358</v>
      </c>
      <c r="CQ16" s="58">
        <f>572965389.24/1000</f>
        <v>572965.38924000005</v>
      </c>
      <c r="CR16" s="58">
        <f>582140328.38/1000</f>
        <v>582140.32837999996</v>
      </c>
      <c r="CS16" s="58">
        <f>583362827.03/1000</f>
        <v>583362.82702999993</v>
      </c>
      <c r="CT16" s="58">
        <v>600732.92222999991</v>
      </c>
      <c r="CU16" s="58">
        <f>607148364.74/1000</f>
        <v>607148.36473999999</v>
      </c>
    </row>
    <row r="17" spans="2:99" x14ac:dyDescent="0.3">
      <c r="B17" s="67"/>
      <c r="C17" s="68"/>
      <c r="D17" s="79"/>
      <c r="E17" s="79"/>
      <c r="F17" s="79"/>
      <c r="G17" s="79"/>
      <c r="H17" s="84"/>
      <c r="I17" s="79"/>
      <c r="J17" s="79"/>
      <c r="K17" s="84"/>
      <c r="L17" s="84"/>
      <c r="M17" s="79"/>
      <c r="N17" s="79"/>
      <c r="O17" s="79"/>
      <c r="P17" s="80"/>
      <c r="Q17" s="80"/>
      <c r="R17" s="80"/>
      <c r="S17" s="80"/>
      <c r="T17" s="80"/>
      <c r="U17" s="80"/>
      <c r="V17" s="80"/>
      <c r="W17" s="80"/>
      <c r="X17" s="80"/>
      <c r="Y17" s="80"/>
      <c r="Z17" s="80"/>
      <c r="AA17" s="80"/>
      <c r="AB17" s="80"/>
      <c r="AC17" s="80"/>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1"/>
      <c r="BY17" s="51">
        <v>0</v>
      </c>
      <c r="BZ17" s="51"/>
      <c r="CA17" s="51">
        <v>0</v>
      </c>
      <c r="CB17" s="51"/>
      <c r="CC17" s="51"/>
      <c r="CD17" s="51"/>
      <c r="CE17" s="51">
        <v>0</v>
      </c>
      <c r="CF17" s="51"/>
      <c r="CG17" s="51"/>
      <c r="CH17" s="51"/>
      <c r="CI17" s="51"/>
      <c r="CJ17" s="51"/>
      <c r="CK17" s="51"/>
      <c r="CL17" s="51"/>
      <c r="CM17" s="51"/>
      <c r="CN17" s="51"/>
      <c r="CO17" s="51"/>
      <c r="CP17" s="51"/>
      <c r="CQ17" s="51"/>
      <c r="CR17" s="51"/>
      <c r="CS17" s="51"/>
      <c r="CT17" s="51"/>
    </row>
    <row r="18" spans="2:99" x14ac:dyDescent="0.3">
      <c r="B18" s="67">
        <v>2</v>
      </c>
      <c r="C18" s="68" t="s">
        <v>28</v>
      </c>
      <c r="D18" s="78"/>
      <c r="E18" s="78"/>
      <c r="F18" s="78"/>
      <c r="G18" s="78">
        <v>0</v>
      </c>
      <c r="H18" s="78">
        <v>0</v>
      </c>
      <c r="I18" s="78">
        <v>0.17734</v>
      </c>
      <c r="J18" s="78">
        <v>7.8058399999999999</v>
      </c>
      <c r="K18" s="78">
        <v>0</v>
      </c>
      <c r="L18" s="78">
        <v>0</v>
      </c>
      <c r="M18" s="78">
        <v>0</v>
      </c>
      <c r="N18" s="78">
        <v>1.2</v>
      </c>
      <c r="O18" s="78">
        <v>7.6262400000000001</v>
      </c>
      <c r="P18" s="52">
        <v>3.84918</v>
      </c>
      <c r="Q18" s="52">
        <v>3.1257899999999998</v>
      </c>
      <c r="R18" s="52">
        <v>9.7696500000000004</v>
      </c>
      <c r="S18" s="52">
        <v>0.36660000000000004</v>
      </c>
      <c r="T18" s="52">
        <v>2.93255</v>
      </c>
      <c r="U18" s="52">
        <v>6.4201999999999995</v>
      </c>
      <c r="V18" s="52">
        <v>1.3790799999999999</v>
      </c>
      <c r="W18" s="52">
        <v>1.4987699999999999</v>
      </c>
      <c r="X18" s="52">
        <v>18.774709999999999</v>
      </c>
      <c r="Y18" s="52">
        <v>17.983040000000003</v>
      </c>
      <c r="Z18" s="52">
        <v>21.674160000000001</v>
      </c>
      <c r="AA18" s="52">
        <v>17.820580000000003</v>
      </c>
      <c r="AB18" s="52">
        <v>17.913160000000001</v>
      </c>
      <c r="AC18" s="52">
        <v>26.616139999999998</v>
      </c>
      <c r="AD18" s="52">
        <v>27.145879999999998</v>
      </c>
      <c r="AE18" s="52">
        <v>26.99166</v>
      </c>
      <c r="AF18" s="52">
        <v>28.119049999999998</v>
      </c>
      <c r="AG18" s="52">
        <v>11.293520000000001</v>
      </c>
      <c r="AH18" s="52">
        <v>12.64147</v>
      </c>
      <c r="AI18" s="52">
        <v>1131.8272400000001</v>
      </c>
      <c r="AJ18" s="52">
        <v>49.169429999999998</v>
      </c>
      <c r="AK18" s="52">
        <v>72.233699999999999</v>
      </c>
      <c r="AL18" s="52">
        <v>1488.2033700000002</v>
      </c>
      <c r="AM18" s="52">
        <v>1585.222</v>
      </c>
      <c r="AN18" s="52">
        <v>1517.9324799999999</v>
      </c>
      <c r="AO18" s="52">
        <v>1561.5328300000001</v>
      </c>
      <c r="AP18" s="52">
        <v>1723.1392499999999</v>
      </c>
      <c r="AQ18" s="52">
        <v>3092.5752499999999</v>
      </c>
      <c r="AR18" s="52">
        <v>3225.2891400000003</v>
      </c>
      <c r="AS18" s="52">
        <v>3126.4000899999996</v>
      </c>
      <c r="AT18" s="52">
        <v>3109.2584300000003</v>
      </c>
      <c r="AU18" s="52">
        <v>3259.16075</v>
      </c>
      <c r="AV18" s="52">
        <v>3247.3233</v>
      </c>
      <c r="AW18" s="52">
        <v>3245.8827200000001</v>
      </c>
      <c r="AX18" s="52">
        <v>3992.5230999999999</v>
      </c>
      <c r="AY18" s="52">
        <v>3631.96819</v>
      </c>
      <c r="AZ18" s="52">
        <v>3291.6977000000002</v>
      </c>
      <c r="BA18" s="52">
        <v>3360.2622900000001</v>
      </c>
      <c r="BB18" s="52">
        <v>3408.1468100000002</v>
      </c>
      <c r="BC18" s="52">
        <v>4036.7000400000002</v>
      </c>
      <c r="BD18" s="52">
        <v>3425.2840899999997</v>
      </c>
      <c r="BE18" s="52">
        <v>3923.6969199999999</v>
      </c>
      <c r="BF18" s="52">
        <v>3955.68768</v>
      </c>
      <c r="BG18" s="52">
        <v>3934.4691600000001</v>
      </c>
      <c r="BH18" s="52">
        <v>3935.6748199999997</v>
      </c>
      <c r="BI18" s="52">
        <v>3928.7081699999999</v>
      </c>
      <c r="BJ18" s="52">
        <v>3948.5630799999999</v>
      </c>
      <c r="BK18" s="52">
        <v>3892.0392200000001</v>
      </c>
      <c r="BL18" s="52">
        <v>3777.0614300000002</v>
      </c>
      <c r="BM18" s="52">
        <v>3785.1839399999999</v>
      </c>
      <c r="BN18" s="52">
        <v>3693.5340999999999</v>
      </c>
      <c r="BO18" s="52">
        <v>3699.54774</v>
      </c>
      <c r="BP18" s="52">
        <v>3700.7186200000001</v>
      </c>
      <c r="BQ18" s="52">
        <v>3700.4419900000003</v>
      </c>
      <c r="BR18" s="52">
        <v>5588.0924100000002</v>
      </c>
      <c r="BS18" s="52">
        <v>5723.1385999999993</v>
      </c>
      <c r="BT18" s="52">
        <v>4990.2311799999998</v>
      </c>
      <c r="BU18" s="52">
        <v>4029.0482200000001</v>
      </c>
      <c r="BV18" s="52">
        <v>4030.60151</v>
      </c>
      <c r="BW18" s="52">
        <v>3276.3531400000002</v>
      </c>
      <c r="BX18" s="51">
        <v>3249.5826299999999</v>
      </c>
      <c r="BY18" s="51">
        <v>4289.9660599999997</v>
      </c>
      <c r="BZ18" s="51">
        <v>3534.9886900000001</v>
      </c>
      <c r="CA18" s="51">
        <v>3533.4983399999996</v>
      </c>
      <c r="CB18" s="51">
        <v>3775.8538399999998</v>
      </c>
      <c r="CC18" s="51">
        <v>3857.9837799999996</v>
      </c>
      <c r="CD18" s="51">
        <v>4384.9396799999995</v>
      </c>
      <c r="CE18" s="51">
        <v>4694.0413099999996</v>
      </c>
      <c r="CF18" s="51">
        <v>4625.1019200000001</v>
      </c>
      <c r="CG18" s="51">
        <v>4600.5766700000004</v>
      </c>
      <c r="CH18" s="51">
        <v>3843.4642899999999</v>
      </c>
      <c r="CI18" s="51">
        <v>4255.88256</v>
      </c>
      <c r="CJ18" s="51">
        <v>4261.5324099999998</v>
      </c>
      <c r="CK18" s="51">
        <v>4215.9355300000007</v>
      </c>
      <c r="CL18" s="51">
        <v>4139.7677899999999</v>
      </c>
      <c r="CM18" s="51">
        <f>4441400.5/1000</f>
        <v>4441.4004999999997</v>
      </c>
      <c r="CN18" s="51">
        <f>4749474.52/1000</f>
        <v>4749.4745199999998</v>
      </c>
      <c r="CO18" s="51">
        <f>3847705.59/1000</f>
        <v>3847.70559</v>
      </c>
      <c r="CP18" s="51">
        <f>+VLOOKUP(B18,'[1]Est. Sit. FSDSFPS'!$A$5:$CL$21,90,0)/1000</f>
        <v>3840.3695600000001</v>
      </c>
      <c r="CQ18" s="51">
        <f>3850290.52/1000</f>
        <v>3850.29052</v>
      </c>
      <c r="CR18" s="51">
        <f>3853428.83/1000</f>
        <v>3853.4288300000003</v>
      </c>
      <c r="CS18" s="51">
        <f>3878416.84/1000</f>
        <v>3878.4168399999999</v>
      </c>
      <c r="CT18" s="51">
        <v>3194.05584</v>
      </c>
      <c r="CU18" s="51">
        <f>3331504.8/1000</f>
        <v>3331.5047999999997</v>
      </c>
    </row>
    <row r="19" spans="2:99" x14ac:dyDescent="0.3">
      <c r="B19" s="67" t="s">
        <v>29</v>
      </c>
      <c r="C19" s="69" t="s">
        <v>33</v>
      </c>
      <c r="D19" s="85"/>
      <c r="E19" s="85"/>
      <c r="F19" s="85"/>
      <c r="G19" s="85">
        <v>0</v>
      </c>
      <c r="H19" s="85">
        <v>0</v>
      </c>
      <c r="I19" s="85">
        <v>0.17734</v>
      </c>
      <c r="J19" s="85">
        <v>7.8058399999999999</v>
      </c>
      <c r="K19" s="85">
        <v>0</v>
      </c>
      <c r="L19" s="85">
        <v>0</v>
      </c>
      <c r="M19" s="85">
        <v>0</v>
      </c>
      <c r="N19" s="85">
        <v>1.2</v>
      </c>
      <c r="O19" s="85">
        <v>7.6262400000000001</v>
      </c>
      <c r="P19" s="86">
        <v>3.84918</v>
      </c>
      <c r="Q19" s="86">
        <v>3.1257899999999998</v>
      </c>
      <c r="R19" s="86">
        <v>9.7696500000000004</v>
      </c>
      <c r="S19" s="86">
        <v>0.36660000000000004</v>
      </c>
      <c r="T19" s="86">
        <v>2.93255</v>
      </c>
      <c r="U19" s="86">
        <v>6.4201999999999995</v>
      </c>
      <c r="V19" s="86">
        <v>1.3790799999999999</v>
      </c>
      <c r="W19" s="86">
        <v>1.4987699999999999</v>
      </c>
      <c r="X19" s="86">
        <v>0.95465</v>
      </c>
      <c r="Y19" s="86">
        <v>0.16297999999999999</v>
      </c>
      <c r="Z19" s="86">
        <v>3.8540999999999999</v>
      </c>
      <c r="AA19" s="86">
        <v>5.2000000000000006E-4</v>
      </c>
      <c r="AB19" s="86">
        <v>9.3099999999999988E-2</v>
      </c>
      <c r="AC19" s="86">
        <v>8.7960799999999999</v>
      </c>
      <c r="AD19" s="55">
        <v>9.3103799999999985</v>
      </c>
      <c r="AE19" s="55">
        <v>9.1561599999999999</v>
      </c>
      <c r="AF19" s="55">
        <v>10.28355</v>
      </c>
      <c r="AG19" s="55">
        <v>11.293520000000001</v>
      </c>
      <c r="AH19" s="55">
        <v>12.64147</v>
      </c>
      <c r="AI19" s="55">
        <v>1131.8272400000001</v>
      </c>
      <c r="AJ19" s="55">
        <v>49.169429999999998</v>
      </c>
      <c r="AK19" s="55">
        <v>72.233699999999999</v>
      </c>
      <c r="AL19" s="55">
        <v>1488.2033700000002</v>
      </c>
      <c r="AM19" s="55">
        <v>1585.222</v>
      </c>
      <c r="AN19" s="55">
        <v>1517.9324799999999</v>
      </c>
      <c r="AO19" s="55">
        <v>1561.5328300000001</v>
      </c>
      <c r="AP19" s="55">
        <v>1723.1392499999999</v>
      </c>
      <c r="AQ19" s="55">
        <v>3092.5752499999999</v>
      </c>
      <c r="AR19" s="55">
        <v>3225.2891400000003</v>
      </c>
      <c r="AS19" s="55">
        <v>3126.4000899999996</v>
      </c>
      <c r="AT19" s="55">
        <v>3109.2584300000003</v>
      </c>
      <c r="AU19" s="55">
        <v>3259.16075</v>
      </c>
      <c r="AV19" s="55">
        <v>3247.3233</v>
      </c>
      <c r="AW19" s="55">
        <v>3245.8827200000001</v>
      </c>
      <c r="AX19" s="55">
        <v>3992.5230999999999</v>
      </c>
      <c r="AY19" s="55">
        <v>3631.96819</v>
      </c>
      <c r="AZ19" s="55">
        <v>3291.6977000000002</v>
      </c>
      <c r="BA19" s="55">
        <v>3360.2622900000001</v>
      </c>
      <c r="BB19" s="55">
        <v>3408.1468100000002</v>
      </c>
      <c r="BC19" s="55">
        <v>4036.7000400000002</v>
      </c>
      <c r="BD19" s="55">
        <v>3425.2840899999997</v>
      </c>
      <c r="BE19" s="55">
        <v>3923.6969199999999</v>
      </c>
      <c r="BF19" s="55">
        <v>3955.68768</v>
      </c>
      <c r="BG19" s="55">
        <v>3934.4691600000001</v>
      </c>
      <c r="BH19" s="55">
        <v>3935.6748199999997</v>
      </c>
      <c r="BI19" s="55">
        <v>3928.7081699999999</v>
      </c>
      <c r="BJ19" s="55">
        <v>3948.5630799999999</v>
      </c>
      <c r="BK19" s="55">
        <v>3892.0392200000001</v>
      </c>
      <c r="BL19" s="55">
        <v>3777.0614300000002</v>
      </c>
      <c r="BM19" s="55">
        <v>3785.1839399999999</v>
      </c>
      <c r="BN19" s="55">
        <v>3693.5340999999999</v>
      </c>
      <c r="BO19" s="55">
        <v>3699.54774</v>
      </c>
      <c r="BP19" s="55">
        <v>3700.7186200000001</v>
      </c>
      <c r="BQ19" s="55">
        <v>3700.4419900000003</v>
      </c>
      <c r="BR19" s="55">
        <v>5588.0924100000002</v>
      </c>
      <c r="BS19" s="55">
        <v>5723.1385999999993</v>
      </c>
      <c r="BT19" s="55">
        <v>4990.2311799999998</v>
      </c>
      <c r="BU19" s="55">
        <v>4029.0482200000001</v>
      </c>
      <c r="BV19" s="55">
        <v>4030.60151</v>
      </c>
      <c r="BW19" s="55">
        <v>3276.3531400000002</v>
      </c>
      <c r="BX19" s="54">
        <v>3249.5826299999999</v>
      </c>
      <c r="BY19" s="54">
        <v>4289.9660599999997</v>
      </c>
      <c r="BZ19" s="54">
        <v>3534.9886900000001</v>
      </c>
      <c r="CA19" s="54">
        <v>3533.4983399999996</v>
      </c>
      <c r="CB19" s="54">
        <v>3775.8538399999998</v>
      </c>
      <c r="CC19" s="54">
        <v>3857.9837799999996</v>
      </c>
      <c r="CD19" s="54">
        <v>4384.9396799999995</v>
      </c>
      <c r="CE19" s="54">
        <v>4694.0413099999996</v>
      </c>
      <c r="CF19" s="54">
        <v>4625.1019200000001</v>
      </c>
      <c r="CG19" s="54">
        <v>4600.5766700000004</v>
      </c>
      <c r="CH19" s="54">
        <v>3843.4642899999999</v>
      </c>
      <c r="CI19" s="54">
        <v>4255.88256</v>
      </c>
      <c r="CJ19" s="54">
        <v>4261.5324099999998</v>
      </c>
      <c r="CK19" s="54">
        <v>4215.9355300000007</v>
      </c>
      <c r="CL19" s="54">
        <v>4139.7677899999999</v>
      </c>
      <c r="CM19" s="54">
        <f>4441400.5/1000</f>
        <v>4441.4004999999997</v>
      </c>
      <c r="CN19" s="54">
        <f>4749474.52/1000</f>
        <v>4749.4745199999998</v>
      </c>
      <c r="CO19" s="54">
        <f>3847705.59/1000</f>
        <v>3847.70559</v>
      </c>
      <c r="CP19" s="54">
        <f>+VLOOKUP(B19,'[1]Est. Sit. FSDSFPS'!$A$5:$CL$21,90,0)/1000</f>
        <v>3840.3695600000001</v>
      </c>
      <c r="CQ19" s="54">
        <f>3850290.52/1000</f>
        <v>3850.29052</v>
      </c>
      <c r="CR19" s="54">
        <f>3853428.83/1000</f>
        <v>3853.4288300000003</v>
      </c>
      <c r="CS19" s="54">
        <f>3878416.84/1000</f>
        <v>3878.4168399999999</v>
      </c>
      <c r="CT19" s="54">
        <v>3194.05584</v>
      </c>
      <c r="CU19" s="51">
        <f>3331504.8/1000</f>
        <v>3331.5047999999997</v>
      </c>
    </row>
    <row r="20" spans="2:99" x14ac:dyDescent="0.3">
      <c r="B20" s="67" t="s">
        <v>30</v>
      </c>
      <c r="C20" s="69" t="s">
        <v>31</v>
      </c>
      <c r="D20" s="85"/>
      <c r="E20" s="85"/>
      <c r="F20" s="85"/>
      <c r="G20" s="85">
        <v>0</v>
      </c>
      <c r="H20" s="85">
        <v>0</v>
      </c>
      <c r="I20" s="85">
        <v>0</v>
      </c>
      <c r="J20" s="85">
        <v>0</v>
      </c>
      <c r="K20" s="85">
        <v>0</v>
      </c>
      <c r="L20" s="85">
        <v>0</v>
      </c>
      <c r="M20" s="85">
        <v>0</v>
      </c>
      <c r="N20" s="87">
        <v>0</v>
      </c>
      <c r="O20" s="85">
        <v>0</v>
      </c>
      <c r="P20" s="86">
        <v>0</v>
      </c>
      <c r="Q20" s="86">
        <v>0</v>
      </c>
      <c r="R20" s="86">
        <v>0</v>
      </c>
      <c r="S20" s="86">
        <v>0</v>
      </c>
      <c r="T20" s="86">
        <v>0</v>
      </c>
      <c r="U20" s="86">
        <v>0</v>
      </c>
      <c r="V20" s="86">
        <v>0</v>
      </c>
      <c r="W20" s="86">
        <v>0</v>
      </c>
      <c r="X20" s="86">
        <v>17.820060000000002</v>
      </c>
      <c r="Y20" s="86">
        <v>17.820060000000002</v>
      </c>
      <c r="Z20" s="86">
        <v>17.820060000000002</v>
      </c>
      <c r="AA20" s="86">
        <v>17.820060000000002</v>
      </c>
      <c r="AB20" s="86">
        <v>17.820060000000002</v>
      </c>
      <c r="AC20" s="86">
        <v>17.820060000000002</v>
      </c>
      <c r="AD20" s="55">
        <v>17.8355</v>
      </c>
      <c r="AE20" s="55">
        <v>17.8355</v>
      </c>
      <c r="AF20" s="55">
        <v>17.8355</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55">
        <v>0</v>
      </c>
      <c r="BP20" s="55">
        <v>0</v>
      </c>
      <c r="BQ20" s="55">
        <v>0</v>
      </c>
      <c r="BR20" s="55">
        <v>0</v>
      </c>
      <c r="BS20" s="55">
        <v>0</v>
      </c>
      <c r="BT20" s="55">
        <v>0</v>
      </c>
      <c r="BU20" s="55">
        <v>0</v>
      </c>
      <c r="BV20" s="55">
        <v>0</v>
      </c>
      <c r="BW20" s="55">
        <v>0</v>
      </c>
      <c r="BX20" s="63">
        <v>0</v>
      </c>
      <c r="BY20" s="63">
        <v>0</v>
      </c>
      <c r="BZ20" s="63">
        <v>0</v>
      </c>
      <c r="CA20" s="63">
        <v>0</v>
      </c>
      <c r="CB20" s="63">
        <v>0</v>
      </c>
      <c r="CC20" s="63">
        <v>0</v>
      </c>
      <c r="CD20" s="63">
        <v>0</v>
      </c>
      <c r="CE20" s="63">
        <v>0</v>
      </c>
      <c r="CF20" s="63">
        <v>0</v>
      </c>
      <c r="CG20" s="63">
        <v>0</v>
      </c>
      <c r="CH20" s="63">
        <v>0</v>
      </c>
      <c r="CI20" s="63">
        <v>0</v>
      </c>
      <c r="CJ20" s="63">
        <v>0</v>
      </c>
      <c r="CK20" s="63">
        <v>0</v>
      </c>
      <c r="CL20" s="63">
        <v>0</v>
      </c>
      <c r="CM20" s="63">
        <v>0</v>
      </c>
      <c r="CN20" s="54">
        <v>0</v>
      </c>
      <c r="CO20" s="54">
        <v>0</v>
      </c>
      <c r="CP20" s="51">
        <f>+VLOOKUP(B20,'[1]Est. Sit. FSDSFPS'!$A$5:$CL$21,90,0)/1000</f>
        <v>0</v>
      </c>
      <c r="CQ20" s="51">
        <v>0</v>
      </c>
      <c r="CR20" s="51">
        <v>0</v>
      </c>
      <c r="CS20" s="51">
        <v>0</v>
      </c>
      <c r="CT20" s="51">
        <v>0</v>
      </c>
      <c r="CU20" s="51">
        <v>0</v>
      </c>
    </row>
    <row r="21" spans="2:99" x14ac:dyDescent="0.3">
      <c r="B21" s="67">
        <v>5</v>
      </c>
      <c r="C21" s="69" t="s">
        <v>58</v>
      </c>
      <c r="D21" s="85"/>
      <c r="E21" s="85"/>
      <c r="F21" s="85"/>
      <c r="G21" s="85"/>
      <c r="H21" s="85"/>
      <c r="I21" s="85"/>
      <c r="J21" s="85"/>
      <c r="K21" s="85"/>
      <c r="L21" s="85"/>
      <c r="M21" s="85"/>
      <c r="N21" s="87"/>
      <c r="O21" s="85"/>
      <c r="P21" s="86"/>
      <c r="Q21" s="86"/>
      <c r="R21" s="86"/>
      <c r="S21" s="86"/>
      <c r="T21" s="86"/>
      <c r="U21" s="86"/>
      <c r="V21" s="86"/>
      <c r="W21" s="86"/>
      <c r="X21" s="86"/>
      <c r="Y21" s="86"/>
      <c r="Z21" s="86"/>
      <c r="AA21" s="86"/>
      <c r="AB21" s="86"/>
      <c r="AC21" s="86"/>
      <c r="AD21" s="55"/>
      <c r="AE21" s="55"/>
      <c r="AF21" s="55"/>
      <c r="AG21" s="55"/>
      <c r="AH21" s="55"/>
      <c r="AI21" s="55"/>
      <c r="AJ21" s="55">
        <v>417.87905000000001</v>
      </c>
      <c r="AK21" s="55">
        <v>670.90152</v>
      </c>
      <c r="AL21" s="55">
        <v>911.03995999999995</v>
      </c>
      <c r="AM21" s="55">
        <v>767.07493999999997</v>
      </c>
      <c r="AN21" s="55">
        <v>255.53632000000002</v>
      </c>
      <c r="AO21" s="55">
        <v>519.50472000000002</v>
      </c>
      <c r="AP21" s="55">
        <v>934.16277000000002</v>
      </c>
      <c r="AQ21" s="55">
        <v>1375.51026</v>
      </c>
      <c r="AR21" s="55">
        <v>1831.1606299999999</v>
      </c>
      <c r="AS21" s="55">
        <v>2274.6641600000003</v>
      </c>
      <c r="AT21" s="55">
        <v>2720.7770699999996</v>
      </c>
      <c r="AU21" s="55">
        <v>3141.4008900000003</v>
      </c>
      <c r="AV21" s="55">
        <v>3571.0389500000001</v>
      </c>
      <c r="AW21" s="55">
        <v>4048.9977599999997</v>
      </c>
      <c r="AX21" s="55">
        <v>4517.2834299999995</v>
      </c>
      <c r="AY21" s="55">
        <v>0</v>
      </c>
      <c r="AZ21" s="55">
        <v>461.89706999999999</v>
      </c>
      <c r="BA21" s="55">
        <v>897.35271999999998</v>
      </c>
      <c r="BB21" s="55">
        <v>1352.24883</v>
      </c>
      <c r="BC21" s="55">
        <v>1793.5302099999999</v>
      </c>
      <c r="BD21" s="55">
        <v>2249.5070000000001</v>
      </c>
      <c r="BE21" s="55">
        <v>2729.0216099999998</v>
      </c>
      <c r="BF21" s="55">
        <v>3202.6990299999998</v>
      </c>
      <c r="BG21" s="55">
        <v>3725.3637200000003</v>
      </c>
      <c r="BH21" s="55">
        <v>4188.2555199999997</v>
      </c>
      <c r="BI21" s="55">
        <v>4665.9046600000001</v>
      </c>
      <c r="BJ21" s="55">
        <v>5159.2421299999996</v>
      </c>
      <c r="BK21" s="55"/>
      <c r="BL21" s="55">
        <v>537.90931</v>
      </c>
      <c r="BM21" s="55">
        <v>1121.1113300000002</v>
      </c>
      <c r="BN21" s="55">
        <v>1714.16445</v>
      </c>
      <c r="BO21" s="55">
        <v>2328.3182499999998</v>
      </c>
      <c r="BP21" s="55">
        <v>2966.3673599999997</v>
      </c>
      <c r="BQ21" s="55">
        <v>3602.4689100000001</v>
      </c>
      <c r="BR21" s="55">
        <v>4261.5509599999996</v>
      </c>
      <c r="BS21" s="55">
        <v>4918.6568399999996</v>
      </c>
      <c r="BT21" s="55">
        <v>7201.85916</v>
      </c>
      <c r="BU21" s="55">
        <v>7967.0337800000007</v>
      </c>
      <c r="BV21" s="55">
        <v>8594.7243699999999</v>
      </c>
      <c r="BW21" s="55">
        <v>0</v>
      </c>
      <c r="BX21" s="54">
        <v>725.33104000000003</v>
      </c>
      <c r="BY21" s="54">
        <v>1608.6776599999998</v>
      </c>
      <c r="BZ21" s="54">
        <v>2475.1559400000001</v>
      </c>
      <c r="CA21" s="54">
        <v>3419.9531100000004</v>
      </c>
      <c r="CB21" s="54">
        <v>4313.0224800000005</v>
      </c>
      <c r="CC21" s="54">
        <v>5132.9819100000004</v>
      </c>
      <c r="CD21" s="54">
        <v>5787.7685300000003</v>
      </c>
      <c r="CE21" s="54">
        <v>6642.9522200000001</v>
      </c>
      <c r="CF21" s="54">
        <v>7700.54846</v>
      </c>
      <c r="CG21" s="54">
        <v>8509.0429499999991</v>
      </c>
      <c r="CH21" s="54">
        <v>9353.4072899999992</v>
      </c>
      <c r="CI21" s="54">
        <v>0</v>
      </c>
      <c r="CJ21" s="54">
        <v>957.40965000000006</v>
      </c>
      <c r="CK21" s="54">
        <v>1862.9988899999998</v>
      </c>
      <c r="CL21" s="54">
        <v>2934.2992599999998</v>
      </c>
      <c r="CM21" s="54">
        <f>3940833.88/1000</f>
        <v>3940.8338799999997</v>
      </c>
      <c r="CN21" s="54">
        <f>4967515.85/1000</f>
        <v>4967.5158499999998</v>
      </c>
      <c r="CO21" s="54">
        <f>5973979.96/1000</f>
        <v>5973.9799599999997</v>
      </c>
      <c r="CP21" s="54">
        <f>+VLOOKUP(B21,'[1]Est. Sit. FSDSFPS'!$A$5:$CL$21,90,0)/1000</f>
        <v>7064.6535300000005</v>
      </c>
      <c r="CQ21" s="54">
        <f>9483594.55/1000</f>
        <v>9483.5945500000016</v>
      </c>
      <c r="CR21" s="54">
        <f>10570412.53/1000</f>
        <v>10570.41253</v>
      </c>
      <c r="CS21" s="54">
        <f>11692239.81/1000</f>
        <v>11692.239810000001</v>
      </c>
      <c r="CT21" s="54">
        <v>12781.40576</v>
      </c>
      <c r="CU21" s="51">
        <v>0</v>
      </c>
    </row>
    <row r="22" spans="2:99" x14ac:dyDescent="0.3">
      <c r="B22" s="67"/>
      <c r="C22" s="68"/>
      <c r="D22" s="79"/>
      <c r="E22" s="79"/>
      <c r="F22" s="79"/>
      <c r="G22" s="79"/>
      <c r="H22" s="79"/>
      <c r="I22" s="79"/>
      <c r="J22" s="79"/>
      <c r="K22" s="79"/>
      <c r="L22" s="79"/>
      <c r="M22" s="79"/>
      <c r="N22" s="84"/>
      <c r="O22" s="79"/>
      <c r="P22" s="80"/>
      <c r="Q22" s="80"/>
      <c r="R22" s="80"/>
      <c r="S22" s="80"/>
      <c r="T22" s="80"/>
      <c r="U22" s="80"/>
      <c r="V22" s="80"/>
      <c r="W22" s="80"/>
      <c r="X22" s="80"/>
      <c r="Y22" s="80"/>
      <c r="Z22" s="80"/>
      <c r="AA22" s="80"/>
      <c r="AB22" s="80"/>
      <c r="AC22" s="80">
        <v>0</v>
      </c>
      <c r="AD22" s="52">
        <v>0</v>
      </c>
      <c r="AE22" s="52">
        <v>0</v>
      </c>
      <c r="AF22" s="52">
        <v>0</v>
      </c>
      <c r="AG22" s="52">
        <v>0</v>
      </c>
      <c r="AH22" s="52">
        <v>0</v>
      </c>
      <c r="AI22" s="52">
        <v>0</v>
      </c>
      <c r="AJ22" s="52">
        <v>0</v>
      </c>
      <c r="AK22" s="52">
        <v>0</v>
      </c>
      <c r="AL22" s="52">
        <v>0</v>
      </c>
      <c r="AM22" s="52">
        <v>0</v>
      </c>
      <c r="AN22" s="52">
        <v>0</v>
      </c>
      <c r="AO22" s="52"/>
      <c r="AP22" s="52"/>
      <c r="AQ22" s="52"/>
      <c r="AR22" s="52"/>
      <c r="AS22" s="52">
        <v>0</v>
      </c>
      <c r="AT22" s="52">
        <v>0</v>
      </c>
      <c r="AU22" s="52">
        <v>0</v>
      </c>
      <c r="AV22" s="52">
        <v>0</v>
      </c>
      <c r="AW22" s="52">
        <v>0</v>
      </c>
      <c r="AX22" s="52">
        <v>0</v>
      </c>
      <c r="AY22" s="52">
        <v>0</v>
      </c>
      <c r="AZ22" s="52">
        <v>0</v>
      </c>
      <c r="BA22" s="52">
        <v>0</v>
      </c>
      <c r="BB22" s="52"/>
      <c r="BC22" s="52"/>
      <c r="BD22" s="52"/>
      <c r="BE22" s="52"/>
      <c r="BF22" s="52"/>
      <c r="BG22" s="52"/>
      <c r="BH22" s="52"/>
      <c r="BI22" s="52"/>
      <c r="BJ22" s="52"/>
      <c r="BK22" s="52"/>
      <c r="BL22" s="52"/>
      <c r="BM22" s="52"/>
      <c r="BN22" s="52"/>
      <c r="BO22" s="52"/>
      <c r="BP22" s="52"/>
      <c r="BQ22" s="52"/>
      <c r="BR22" s="52">
        <v>0</v>
      </c>
      <c r="BS22" s="52">
        <v>0</v>
      </c>
      <c r="BT22" s="52"/>
      <c r="BU22" s="52"/>
      <c r="BV22" s="52"/>
      <c r="BW22" s="52"/>
      <c r="BX22" s="52"/>
      <c r="BY22" s="52"/>
      <c r="BZ22" s="52"/>
      <c r="CA22" s="52"/>
      <c r="CB22" s="52"/>
      <c r="CC22" s="52"/>
      <c r="CD22" s="52"/>
      <c r="CE22" s="52"/>
      <c r="CF22" s="52"/>
      <c r="CG22" s="52"/>
      <c r="CH22" s="52"/>
      <c r="CI22" s="52"/>
      <c r="CJ22" s="52"/>
      <c r="CK22" s="52"/>
      <c r="CL22" s="52"/>
      <c r="CM22" s="52"/>
      <c r="CN22" s="52"/>
      <c r="CO22" s="52"/>
      <c r="CP22" s="51"/>
      <c r="CQ22" s="51"/>
      <c r="CR22" s="51"/>
      <c r="CS22" s="51"/>
      <c r="CT22" s="51"/>
      <c r="CU22" s="54"/>
    </row>
    <row r="23" spans="2:99" x14ac:dyDescent="0.3">
      <c r="B23" s="67">
        <v>3</v>
      </c>
      <c r="C23" s="68" t="s">
        <v>79</v>
      </c>
      <c r="D23" s="78"/>
      <c r="E23" s="78"/>
      <c r="F23" s="78"/>
      <c r="G23" s="78">
        <v>75694.617239999992</v>
      </c>
      <c r="H23" s="78">
        <v>79723.219169999997</v>
      </c>
      <c r="I23" s="78">
        <v>79805.903569999995</v>
      </c>
      <c r="J23" s="78">
        <v>95602.29333</v>
      </c>
      <c r="K23" s="78">
        <v>95714.932620000007</v>
      </c>
      <c r="L23" s="78">
        <v>98472.872400000007</v>
      </c>
      <c r="M23" s="78">
        <v>103986.91131</v>
      </c>
      <c r="N23" s="78">
        <v>104010.87256999999</v>
      </c>
      <c r="O23" s="78">
        <v>106931.24959000001</v>
      </c>
      <c r="P23" s="52">
        <v>112456.00290000001</v>
      </c>
      <c r="Q23" s="52">
        <v>115576.09595999999</v>
      </c>
      <c r="R23" s="52">
        <v>118624.55781</v>
      </c>
      <c r="S23" s="52">
        <v>121572.40184999999</v>
      </c>
      <c r="T23" s="52">
        <v>124653.78395</v>
      </c>
      <c r="U23" s="52">
        <v>127626.36520999999</v>
      </c>
      <c r="V23" s="52">
        <v>130734.94763</v>
      </c>
      <c r="W23" s="52">
        <v>134051.74841</v>
      </c>
      <c r="X23" s="52">
        <v>137047.88303</v>
      </c>
      <c r="Y23" s="52">
        <v>140163.92546999999</v>
      </c>
      <c r="Z23" s="52">
        <v>143273.21662999998</v>
      </c>
      <c r="AA23" s="52">
        <v>146370.68049</v>
      </c>
      <c r="AB23" s="52">
        <v>149411.21291</v>
      </c>
      <c r="AC23" s="52">
        <v>152439.23981</v>
      </c>
      <c r="AD23" s="52">
        <v>155308.61216999998</v>
      </c>
      <c r="AE23" s="52">
        <v>158420.58283</v>
      </c>
      <c r="AF23" s="52">
        <v>161662.72086</v>
      </c>
      <c r="AG23" s="52">
        <v>164891.12612999999</v>
      </c>
      <c r="AH23" s="52">
        <v>168169.14012999999</v>
      </c>
      <c r="AI23" s="52">
        <v>200718.38571</v>
      </c>
      <c r="AJ23" s="52">
        <v>204945.27919999999</v>
      </c>
      <c r="AK23" s="52">
        <v>181299.677</v>
      </c>
      <c r="AL23" s="52">
        <v>212298.69373000003</v>
      </c>
      <c r="AM23" s="52">
        <v>216827.10506999999</v>
      </c>
      <c r="AN23" s="52">
        <v>217030.07889999999</v>
      </c>
      <c r="AO23" s="52">
        <v>221105.78243000002</v>
      </c>
      <c r="AP23" s="52">
        <v>264981.70167000004</v>
      </c>
      <c r="AQ23" s="52">
        <v>269147.98008000007</v>
      </c>
      <c r="AR23" s="52">
        <v>272988.03169999999</v>
      </c>
      <c r="AS23" s="52">
        <v>277230.43710999994</v>
      </c>
      <c r="AT23" s="52">
        <v>281957.83700999996</v>
      </c>
      <c r="AU23" s="52">
        <v>286298.01633999997</v>
      </c>
      <c r="AV23" s="52">
        <v>290716.34581999993</v>
      </c>
      <c r="AW23" s="52">
        <v>295045.57183999999</v>
      </c>
      <c r="AX23" s="52">
        <v>299448.89256999997</v>
      </c>
      <c r="AY23" s="52">
        <v>286146.89116</v>
      </c>
      <c r="AZ23" s="52">
        <v>290995.63916000002</v>
      </c>
      <c r="BA23" s="52">
        <v>290995.63916000002</v>
      </c>
      <c r="BB23" s="52">
        <v>300580.44695000007</v>
      </c>
      <c r="BC23" s="52">
        <v>305493.00554000004</v>
      </c>
      <c r="BD23" s="52">
        <v>310583.43960000004</v>
      </c>
      <c r="BE23" s="52">
        <v>315200.06368999998</v>
      </c>
      <c r="BF23" s="52">
        <v>320538.90192999999</v>
      </c>
      <c r="BG23" s="52">
        <v>325697.42609000002</v>
      </c>
      <c r="BH23" s="52">
        <v>330971.83892000001</v>
      </c>
      <c r="BI23" s="52">
        <v>336207.22779999999</v>
      </c>
      <c r="BJ23" s="52">
        <v>336559.25495000003</v>
      </c>
      <c r="BK23" s="52">
        <v>337100.87565999996</v>
      </c>
      <c r="BL23" s="52">
        <v>337561.92689</v>
      </c>
      <c r="BM23" s="52">
        <v>342939.93484</v>
      </c>
      <c r="BN23" s="52">
        <v>353850.38636</v>
      </c>
      <c r="BO23" s="52">
        <v>353992.75748999999</v>
      </c>
      <c r="BP23" s="52">
        <v>359643.57754999999</v>
      </c>
      <c r="BQ23" s="52">
        <v>365322.63381000003</v>
      </c>
      <c r="BR23" s="52">
        <v>371345.87663000001</v>
      </c>
      <c r="BS23" s="52">
        <v>371345.87663000001</v>
      </c>
      <c r="BT23" s="52">
        <v>383175.09054</v>
      </c>
      <c r="BU23" s="52">
        <v>389235.59213</v>
      </c>
      <c r="BV23" s="52">
        <v>395609.05676000001</v>
      </c>
      <c r="BW23" s="52">
        <v>411765.85243000003</v>
      </c>
      <c r="BX23" s="51">
        <v>411946.16123000003</v>
      </c>
      <c r="BY23" s="51">
        <v>418227.66969999997</v>
      </c>
      <c r="BZ23" s="51">
        <v>430667.85485</v>
      </c>
      <c r="CA23" s="51">
        <v>431024.61433000001</v>
      </c>
      <c r="CB23" s="51">
        <v>431024.61433000001</v>
      </c>
      <c r="CC23" s="51">
        <v>431024.61433000001</v>
      </c>
      <c r="CD23" s="51">
        <v>450827.95924</v>
      </c>
      <c r="CE23" s="51">
        <v>462277.23356999998</v>
      </c>
      <c r="CF23" s="51">
        <v>462996.25101000001</v>
      </c>
      <c r="CG23" s="51">
        <v>475057.08323000005</v>
      </c>
      <c r="CH23" s="51">
        <v>482544.16811000003</v>
      </c>
      <c r="CI23" s="51">
        <v>496246.48719999997</v>
      </c>
      <c r="CJ23" s="51">
        <v>496246.48719999997</v>
      </c>
      <c r="CK23" s="51">
        <v>496246.48719999997</v>
      </c>
      <c r="CL23" s="51">
        <v>496743.32387000002</v>
      </c>
      <c r="CM23" s="51">
        <f>519249830.13/1000</f>
        <v>519249.83013000002</v>
      </c>
      <c r="CN23" s="51">
        <f>527284244.92/1000</f>
        <v>527284.24491999997</v>
      </c>
      <c r="CO23" s="51">
        <f>541702964.73/1000</f>
        <v>541702.96473000001</v>
      </c>
      <c r="CP23" s="51">
        <f>+VLOOKUP(B23,'[1]Est. Sit. FSDSFPS'!$A$5:$CL$21,90,0)/1000</f>
        <v>543127.83048999996</v>
      </c>
      <c r="CQ23" s="51">
        <f>559631504.17/1000</f>
        <v>559631.50416999997</v>
      </c>
      <c r="CR23" s="51">
        <f>567716487.02/1000</f>
        <v>567716.48702</v>
      </c>
      <c r="CS23" s="51">
        <f>567792170.38/1000</f>
        <v>567792.17038000003</v>
      </c>
      <c r="CT23" s="51">
        <v>584757.46062999999</v>
      </c>
      <c r="CU23" s="51">
        <f>603816859.94/1000</f>
        <v>603816.85994000011</v>
      </c>
    </row>
    <row r="24" spans="2:99" x14ac:dyDescent="0.3">
      <c r="B24" s="67"/>
      <c r="C24" s="68"/>
      <c r="D24" s="78"/>
      <c r="E24" s="78"/>
      <c r="F24" s="78"/>
      <c r="G24" s="78"/>
      <c r="H24" s="78"/>
      <c r="I24" s="78"/>
      <c r="J24" s="78"/>
      <c r="K24" s="78"/>
      <c r="L24" s="78"/>
      <c r="M24" s="78"/>
      <c r="N24" s="78"/>
      <c r="O24" s="78"/>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66"/>
      <c r="BY24" s="66"/>
      <c r="BZ24" s="66"/>
      <c r="CA24" s="66"/>
      <c r="CB24" s="66"/>
      <c r="CC24" s="66"/>
      <c r="CD24" s="66"/>
      <c r="CE24" s="66"/>
      <c r="CF24" s="66"/>
      <c r="CG24" s="66"/>
      <c r="CH24" s="66"/>
      <c r="CI24" s="66"/>
      <c r="CJ24" s="66"/>
      <c r="CK24" s="66"/>
      <c r="CL24" s="66"/>
      <c r="CM24" s="66"/>
      <c r="CN24" s="64"/>
      <c r="CO24" s="64"/>
      <c r="CP24" s="51"/>
      <c r="CQ24" s="51"/>
      <c r="CR24" s="51"/>
      <c r="CS24" s="51"/>
      <c r="CT24" s="51"/>
      <c r="CU24" s="51"/>
    </row>
    <row r="25" spans="2:99" x14ac:dyDescent="0.3">
      <c r="B25" s="70">
        <v>10</v>
      </c>
      <c r="C25" s="71" t="s">
        <v>64</v>
      </c>
      <c r="D25" s="81"/>
      <c r="E25" s="81"/>
      <c r="F25" s="81"/>
      <c r="G25" s="81"/>
      <c r="H25" s="81"/>
      <c r="I25" s="81"/>
      <c r="J25" s="81"/>
      <c r="K25" s="81"/>
      <c r="L25" s="81"/>
      <c r="M25" s="81"/>
      <c r="N25" s="81"/>
      <c r="O25" s="81"/>
      <c r="P25" s="82"/>
      <c r="Q25" s="82"/>
      <c r="R25" s="82"/>
      <c r="S25" s="82"/>
      <c r="T25" s="82"/>
      <c r="U25" s="82"/>
      <c r="V25" s="82"/>
      <c r="W25" s="82"/>
      <c r="X25" s="82"/>
      <c r="Y25" s="82"/>
      <c r="Z25" s="82"/>
      <c r="AA25" s="82"/>
      <c r="AB25" s="82"/>
      <c r="AC25" s="82"/>
      <c r="AD25" s="83"/>
      <c r="AE25" s="83"/>
      <c r="AF25" s="83"/>
      <c r="AG25" s="83"/>
      <c r="AH25" s="83"/>
      <c r="AI25" s="83"/>
      <c r="AJ25" s="59">
        <f>+AJ23+AJ21+AJ18</f>
        <v>205412.32767999999</v>
      </c>
      <c r="AK25" s="59">
        <f>+AK23+AK21+AK18</f>
        <v>182042.81222000002</v>
      </c>
      <c r="AL25" s="59">
        <f>+AL23+AL21+AL18</f>
        <v>214697.93706000003</v>
      </c>
      <c r="AM25" s="59">
        <f>+AM23+AM21+AM18</f>
        <v>219179.40200999999</v>
      </c>
      <c r="AN25" s="59">
        <f>+AN23+AN21+AN18</f>
        <v>218803.5477</v>
      </c>
      <c r="AO25" s="59">
        <v>223186.81998000003</v>
      </c>
      <c r="AP25" s="59">
        <v>267639.00368999998</v>
      </c>
      <c r="AQ25" s="59">
        <v>273616.06559000001</v>
      </c>
      <c r="AR25" s="59">
        <v>278044.48146999994</v>
      </c>
      <c r="AS25" s="59">
        <v>282631.50135999994</v>
      </c>
      <c r="AT25" s="59">
        <v>287787.87250999996</v>
      </c>
      <c r="AU25" s="59">
        <v>292698.57797999994</v>
      </c>
      <c r="AV25" s="59">
        <v>297534.70806999994</v>
      </c>
      <c r="AW25" s="59">
        <v>302340.45231999998</v>
      </c>
      <c r="AX25" s="59">
        <v>307958.69910000003</v>
      </c>
      <c r="AY25" s="59">
        <v>289778.85935000004</v>
      </c>
      <c r="AZ25" s="59">
        <v>294749.23392999999</v>
      </c>
      <c r="BA25" s="59">
        <v>295253.25417000009</v>
      </c>
      <c r="BB25" s="59">
        <v>305340.84259000001</v>
      </c>
      <c r="BC25" s="59">
        <v>311323.23579000001</v>
      </c>
      <c r="BD25" s="59">
        <v>316258.23069</v>
      </c>
      <c r="BE25" s="59">
        <v>321852.78222000005</v>
      </c>
      <c r="BF25" s="59">
        <v>327697.28863999998</v>
      </c>
      <c r="BG25" s="59">
        <v>333357.25897000008</v>
      </c>
      <c r="BH25" s="59">
        <v>339095.76925999997</v>
      </c>
      <c r="BI25" s="59">
        <v>344801.84063000005</v>
      </c>
      <c r="BJ25" s="59">
        <v>340507.81803000002</v>
      </c>
      <c r="BK25" s="59">
        <v>340992.91488</v>
      </c>
      <c r="BL25" s="59">
        <v>341876.89763000002</v>
      </c>
      <c r="BM25" s="59">
        <v>347846.23010999995</v>
      </c>
      <c r="BN25" s="59">
        <v>359258.08491000003</v>
      </c>
      <c r="BO25" s="59">
        <v>360020.62348000001</v>
      </c>
      <c r="BP25" s="59">
        <v>366310.66353000002</v>
      </c>
      <c r="BQ25" s="59">
        <v>372625.54471000005</v>
      </c>
      <c r="BR25" s="59">
        <v>381195.52000000002</v>
      </c>
      <c r="BS25" s="59">
        <v>381987.67206999997</v>
      </c>
      <c r="BT25" s="59">
        <v>395367.18088000006</v>
      </c>
      <c r="BU25" s="59">
        <v>401231.67413</v>
      </c>
      <c r="BV25" s="59">
        <v>408234.38263999997</v>
      </c>
      <c r="BW25" s="59">
        <v>415042.20556999999</v>
      </c>
      <c r="BX25" s="58">
        <v>415921.07490000001</v>
      </c>
      <c r="BY25" s="58">
        <v>424126.31342000002</v>
      </c>
      <c r="BZ25" s="58">
        <v>436677.99948</v>
      </c>
      <c r="CA25" s="58">
        <v>437978.06577999995</v>
      </c>
      <c r="CB25" s="58">
        <v>439113.49064999999</v>
      </c>
      <c r="CC25" s="58">
        <v>440015.58001999999</v>
      </c>
      <c r="CD25" s="58">
        <v>461000.66745000001</v>
      </c>
      <c r="CE25" s="58">
        <v>473614.22710000002</v>
      </c>
      <c r="CF25" s="58">
        <v>475321.90139000001</v>
      </c>
      <c r="CG25" s="58">
        <v>488166.70285</v>
      </c>
      <c r="CH25" s="58">
        <v>495741.03969000006</v>
      </c>
      <c r="CI25" s="58">
        <v>500502.36975999997</v>
      </c>
      <c r="CJ25" s="58">
        <v>501465.42926</v>
      </c>
      <c r="CK25" s="58">
        <v>502325.42161999992</v>
      </c>
      <c r="CL25" s="58">
        <v>503817.39092000003</v>
      </c>
      <c r="CM25" s="58">
        <f>527632064.51/1000</f>
        <v>527632.06450999994</v>
      </c>
      <c r="CN25" s="58">
        <f>537001235.29/1000</f>
        <v>537001.23528999998</v>
      </c>
      <c r="CO25" s="58">
        <f>551524650.28/1000</f>
        <v>551524.65027999994</v>
      </c>
      <c r="CP25" s="58">
        <f>+VLOOKUP(B25,'[1]Est. Sit. FSDSFPS'!$A$5:$CL$21,90,0)/1000</f>
        <v>554032.85357999988</v>
      </c>
      <c r="CQ25" s="58">
        <f>572965389.24/1000</f>
        <v>572965.38924000005</v>
      </c>
      <c r="CR25" s="58">
        <f>582140328.38/1000</f>
        <v>582140.32837999996</v>
      </c>
      <c r="CS25" s="58">
        <f>583362827.03/1000</f>
        <v>583362.82702999993</v>
      </c>
      <c r="CT25" s="58">
        <v>600732.92223000003</v>
      </c>
      <c r="CU25" s="58">
        <f>607148364.74/1000</f>
        <v>607148.36473999999</v>
      </c>
    </row>
    <row r="26" spans="2:99" x14ac:dyDescent="0.3">
      <c r="B26" s="15"/>
      <c r="C26" s="16"/>
      <c r="D26" s="17"/>
      <c r="E26" s="17"/>
      <c r="F26" s="17"/>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42"/>
      <c r="AK26" s="42"/>
      <c r="AL26" s="42"/>
      <c r="AM26" s="42"/>
      <c r="AN26" s="16"/>
      <c r="AO26" s="16"/>
      <c r="AP26" s="16"/>
      <c r="AQ26" s="16"/>
      <c r="AR26" s="16"/>
      <c r="AS26" s="16"/>
      <c r="AT26" s="16"/>
      <c r="AU26" s="16"/>
      <c r="AV26" s="16"/>
      <c r="AW26" s="16"/>
      <c r="AX26" s="16"/>
      <c r="AY26" s="16"/>
      <c r="AZ26" s="16"/>
      <c r="BA26" s="16"/>
      <c r="BB26" s="16"/>
      <c r="BC26" s="16"/>
      <c r="BD26" s="16"/>
      <c r="BE26" s="16"/>
    </row>
    <row r="27" spans="2:99" x14ac:dyDescent="0.3">
      <c r="B27" s="40" t="s">
        <v>59</v>
      </c>
      <c r="D27" s="16"/>
      <c r="E27" s="16"/>
      <c r="F27" s="16"/>
      <c r="G27" s="16"/>
      <c r="H27" s="16"/>
      <c r="I27" s="16"/>
      <c r="J27" s="16"/>
      <c r="K27" s="16"/>
      <c r="L27" s="16"/>
      <c r="M27" s="16"/>
      <c r="N27" s="16"/>
      <c r="O27" s="16"/>
      <c r="P27" s="20"/>
      <c r="Q27" s="20"/>
      <c r="R27" s="20"/>
      <c r="S27" s="20"/>
      <c r="T27" s="20"/>
      <c r="U27" s="20"/>
      <c r="V27" s="20"/>
      <c r="W27" s="20"/>
      <c r="X27" s="20"/>
      <c r="Y27" s="20"/>
      <c r="Z27" s="20"/>
      <c r="AA27" s="20"/>
      <c r="AB27" s="21"/>
      <c r="AC27" s="21"/>
      <c r="AD27" s="21"/>
      <c r="AE27" s="21"/>
      <c r="AF27" s="21"/>
      <c r="AG27" s="21"/>
      <c r="AH27" s="21"/>
      <c r="AI27" s="21"/>
      <c r="AJ27" s="43"/>
      <c r="AK27" s="43"/>
      <c r="AL27" s="43"/>
      <c r="AM27" s="43"/>
      <c r="AN27" s="43"/>
      <c r="AO27" s="43"/>
      <c r="AP27" s="43"/>
      <c r="AQ27" s="43"/>
      <c r="AR27" s="43"/>
      <c r="AS27" s="43"/>
      <c r="AT27" s="43"/>
      <c r="AU27" s="43"/>
      <c r="AV27" s="43"/>
      <c r="AW27" s="43"/>
      <c r="AX27" s="43"/>
      <c r="AY27" s="43"/>
      <c r="AZ27" s="43"/>
      <c r="BA27" s="43"/>
      <c r="BB27" s="43"/>
      <c r="BC27" s="43"/>
      <c r="BD27" s="21"/>
      <c r="BE27" s="21"/>
    </row>
    <row r="28" spans="2:99" x14ac:dyDescent="0.3">
      <c r="B28" s="41" t="s">
        <v>62</v>
      </c>
      <c r="D28" s="16"/>
      <c r="E28" s="16"/>
      <c r="F28" s="16"/>
      <c r="G28" s="16"/>
      <c r="H28" s="16"/>
      <c r="I28" s="16"/>
      <c r="J28" s="16"/>
      <c r="K28" s="16"/>
      <c r="L28" s="16"/>
      <c r="M28" s="16"/>
      <c r="N28" s="16"/>
      <c r="O28" s="16"/>
      <c r="P28" s="20"/>
      <c r="Q28" s="20"/>
      <c r="R28" s="20"/>
      <c r="S28" s="20"/>
      <c r="T28" s="20"/>
      <c r="U28" s="20"/>
      <c r="V28" s="20"/>
      <c r="W28" s="20"/>
      <c r="X28" s="20"/>
      <c r="Y28" s="20"/>
      <c r="Z28" s="20"/>
      <c r="AA28" s="20"/>
      <c r="AB28" s="21"/>
      <c r="AC28" s="21"/>
      <c r="AD28" s="21"/>
      <c r="AE28" s="21"/>
      <c r="AF28" s="21"/>
      <c r="AG28" s="21"/>
      <c r="AH28" s="21"/>
      <c r="AI28" s="21"/>
      <c r="AJ28" s="21"/>
      <c r="AK28" s="21"/>
      <c r="AL28" s="45"/>
      <c r="AM28" s="45"/>
      <c r="AN28" s="45"/>
      <c r="AO28" s="45"/>
      <c r="AP28" s="45"/>
      <c r="AQ28" s="45"/>
      <c r="AR28" s="45"/>
      <c r="AS28" s="45"/>
      <c r="AT28" s="45"/>
      <c r="AU28" s="45"/>
      <c r="AV28" s="45"/>
      <c r="AW28" s="45"/>
      <c r="AX28" s="45"/>
      <c r="AY28" s="45"/>
      <c r="AZ28" s="45"/>
      <c r="BA28" s="45"/>
      <c r="BB28" s="45"/>
      <c r="BC28" s="21"/>
      <c r="BD28" s="21"/>
      <c r="BE28" s="21"/>
    </row>
    <row r="29" spans="2:99" x14ac:dyDescent="0.3">
      <c r="B29" s="39" t="s">
        <v>60</v>
      </c>
      <c r="D29" s="16"/>
      <c r="E29" s="16"/>
      <c r="F29" s="16"/>
      <c r="G29" s="16"/>
      <c r="H29" s="16"/>
      <c r="I29" s="16"/>
      <c r="J29" s="16"/>
      <c r="K29" s="16"/>
      <c r="L29" s="16"/>
      <c r="M29" s="16"/>
      <c r="N29" s="16"/>
      <c r="O29" s="16"/>
      <c r="P29" s="20"/>
      <c r="Q29" s="20"/>
      <c r="R29" s="20"/>
      <c r="S29" s="20"/>
      <c r="T29" s="20"/>
      <c r="U29" s="20"/>
      <c r="V29" s="20"/>
      <c r="W29" s="20"/>
      <c r="X29" s="20"/>
      <c r="Y29" s="20"/>
      <c r="Z29" s="20"/>
      <c r="AA29" s="20"/>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row>
    <row r="30" spans="2:99" x14ac:dyDescent="0.3">
      <c r="B30" s="39" t="s">
        <v>65</v>
      </c>
      <c r="D30" s="16"/>
      <c r="E30" s="16"/>
      <c r="F30" s="16"/>
      <c r="G30" s="16"/>
      <c r="H30" s="16"/>
      <c r="I30" s="16"/>
      <c r="J30" s="16"/>
      <c r="K30" s="16"/>
      <c r="L30" s="16"/>
      <c r="M30" s="16"/>
      <c r="N30" s="16"/>
      <c r="O30" s="16"/>
      <c r="P30" s="20"/>
      <c r="Q30" s="20"/>
      <c r="R30" s="20"/>
      <c r="S30" s="20"/>
      <c r="T30" s="20"/>
      <c r="U30" s="20"/>
      <c r="V30" s="20"/>
      <c r="W30" s="20"/>
      <c r="X30" s="20"/>
      <c r="Y30" s="20"/>
      <c r="Z30" s="20"/>
      <c r="AA30" s="20"/>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row>
    <row r="31" spans="2:99" x14ac:dyDescent="0.3">
      <c r="B31" s="39" t="s">
        <v>66</v>
      </c>
      <c r="D31" s="16"/>
      <c r="E31" s="16"/>
      <c r="F31" s="16"/>
      <c r="G31" s="16"/>
      <c r="H31" s="16"/>
      <c r="I31" s="16"/>
      <c r="J31" s="16"/>
      <c r="K31" s="16"/>
      <c r="L31" s="16"/>
      <c r="M31" s="16"/>
      <c r="N31" s="16"/>
      <c r="O31" s="16"/>
      <c r="P31" s="20"/>
      <c r="Q31" s="20"/>
      <c r="R31" s="20"/>
      <c r="S31" s="20"/>
      <c r="T31" s="20"/>
      <c r="U31" s="20"/>
      <c r="V31" s="20"/>
      <c r="W31" s="20"/>
      <c r="X31" s="20"/>
      <c r="Y31" s="20"/>
      <c r="Z31" s="20"/>
      <c r="AA31" s="20"/>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row>
    <row r="32" spans="2:99" x14ac:dyDescent="0.3">
      <c r="B32" s="39" t="s">
        <v>77</v>
      </c>
      <c r="D32" s="16"/>
      <c r="E32" s="16"/>
      <c r="F32" s="16"/>
      <c r="G32" s="16"/>
      <c r="H32" s="16"/>
      <c r="I32" s="16"/>
      <c r="J32" s="16"/>
      <c r="K32" s="16"/>
      <c r="L32" s="16"/>
      <c r="M32" s="16"/>
      <c r="N32" s="16"/>
      <c r="O32" s="16"/>
      <c r="P32" s="20"/>
      <c r="Q32" s="20"/>
      <c r="R32" s="20"/>
      <c r="S32" s="20"/>
      <c r="T32" s="20"/>
      <c r="U32" s="20"/>
      <c r="V32" s="20"/>
      <c r="W32" s="20"/>
      <c r="X32" s="20"/>
      <c r="Y32" s="20"/>
      <c r="Z32" s="20"/>
      <c r="AA32" s="20"/>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row>
    <row r="33" spans="2:57" x14ac:dyDescent="0.3">
      <c r="B33" s="39" t="s">
        <v>72</v>
      </c>
      <c r="D33" s="16"/>
      <c r="E33" s="16"/>
      <c r="F33" s="16"/>
      <c r="G33" s="16"/>
      <c r="H33" s="16"/>
      <c r="I33" s="16"/>
      <c r="J33" s="16"/>
      <c r="K33" s="16"/>
      <c r="L33" s="16"/>
      <c r="M33" s="16"/>
      <c r="N33" s="16"/>
      <c r="O33" s="16"/>
      <c r="P33" s="20"/>
      <c r="Q33" s="20"/>
      <c r="R33" s="20"/>
      <c r="S33" s="20"/>
      <c r="T33" s="20"/>
      <c r="U33" s="20"/>
      <c r="V33" s="20"/>
      <c r="W33" s="20"/>
      <c r="X33" s="20"/>
      <c r="Y33" s="20"/>
      <c r="Z33" s="20"/>
      <c r="AA33" s="20"/>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row>
    <row r="34" spans="2:57" x14ac:dyDescent="0.3">
      <c r="B34" s="39" t="s">
        <v>73</v>
      </c>
      <c r="D34" s="16"/>
      <c r="E34" s="16"/>
      <c r="F34" s="16"/>
      <c r="G34" s="16"/>
      <c r="H34" s="16"/>
      <c r="I34" s="16"/>
      <c r="J34" s="16"/>
      <c r="K34" s="16"/>
      <c r="L34" s="16"/>
      <c r="M34" s="16"/>
      <c r="N34" s="16"/>
      <c r="O34" s="16"/>
      <c r="P34" s="20"/>
      <c r="Q34" s="20"/>
      <c r="R34" s="20"/>
      <c r="S34" s="20"/>
      <c r="T34" s="20"/>
      <c r="U34" s="20"/>
      <c r="V34" s="20"/>
      <c r="W34" s="20"/>
      <c r="X34" s="20"/>
      <c r="Y34" s="20"/>
      <c r="Z34" s="20"/>
      <c r="AA34" s="20"/>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row>
    <row r="35" spans="2:57" ht="67.5" customHeight="1" x14ac:dyDescent="0.3">
      <c r="B35" s="98" t="s">
        <v>81</v>
      </c>
      <c r="C35" s="98"/>
      <c r="D35" s="98"/>
      <c r="E35" s="98"/>
      <c r="F35" s="98"/>
      <c r="G35" s="98"/>
      <c r="H35" s="98"/>
      <c r="I35" s="98"/>
      <c r="J35" s="98"/>
      <c r="K35" s="98"/>
      <c r="L35" s="98"/>
      <c r="M35" s="98"/>
      <c r="N35" s="98"/>
      <c r="O35" s="98"/>
      <c r="P35" s="98"/>
      <c r="Q35" s="20"/>
      <c r="R35" s="20"/>
      <c r="S35" s="20"/>
      <c r="T35" s="20"/>
      <c r="U35" s="20"/>
      <c r="V35" s="20"/>
      <c r="W35" s="20"/>
      <c r="X35" s="20"/>
      <c r="Y35" s="20"/>
      <c r="Z35" s="20"/>
      <c r="AA35" s="20"/>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row>
    <row r="36" spans="2:57" ht="28.5" customHeight="1" x14ac:dyDescent="0.3">
      <c r="B36" s="98" t="s">
        <v>84</v>
      </c>
      <c r="C36" s="98"/>
      <c r="D36" s="98"/>
      <c r="E36" s="98"/>
      <c r="F36" s="98"/>
      <c r="G36" s="98"/>
      <c r="H36" s="98"/>
      <c r="I36" s="98"/>
      <c r="J36" s="98"/>
      <c r="K36" s="98"/>
      <c r="L36" s="98"/>
      <c r="M36" s="98"/>
      <c r="N36" s="98"/>
      <c r="O36" s="98"/>
      <c r="P36" s="98"/>
      <c r="Q36" s="20"/>
      <c r="R36" s="20"/>
      <c r="S36" s="20"/>
      <c r="T36" s="20"/>
      <c r="U36" s="20"/>
      <c r="V36" s="20"/>
      <c r="W36" s="20"/>
      <c r="X36" s="20"/>
      <c r="Y36" s="20"/>
      <c r="Z36" s="20"/>
      <c r="AA36" s="20"/>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row>
    <row r="37" spans="2:57" x14ac:dyDescent="0.3">
      <c r="B37" s="39" t="s">
        <v>92</v>
      </c>
      <c r="D37" s="16"/>
      <c r="E37" s="16"/>
      <c r="F37" s="16"/>
      <c r="G37" s="16"/>
      <c r="H37" s="16"/>
      <c r="I37" s="16"/>
      <c r="J37" s="16"/>
      <c r="K37" s="16"/>
      <c r="L37" s="16"/>
      <c r="M37" s="16"/>
      <c r="N37" s="16"/>
      <c r="O37" s="16"/>
      <c r="P37" s="20"/>
      <c r="Q37" s="20"/>
      <c r="R37" s="20"/>
      <c r="S37" s="20"/>
      <c r="T37" s="20"/>
      <c r="U37" s="20"/>
      <c r="V37" s="20"/>
      <c r="W37" s="20"/>
      <c r="X37" s="20"/>
      <c r="Y37" s="20"/>
      <c r="Z37" s="20"/>
      <c r="AA37" s="20"/>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row>
    <row r="38" spans="2:57" ht="28.5" customHeight="1" x14ac:dyDescent="0.3">
      <c r="B38" s="98" t="s">
        <v>98</v>
      </c>
      <c r="C38" s="98"/>
      <c r="D38" s="98"/>
      <c r="E38" s="98"/>
      <c r="F38" s="98"/>
      <c r="G38" s="98"/>
      <c r="H38" s="98"/>
      <c r="I38" s="98"/>
      <c r="J38" s="98"/>
      <c r="K38" s="98"/>
      <c r="L38" s="98"/>
      <c r="M38" s="98"/>
      <c r="N38" s="98"/>
      <c r="O38" s="98"/>
      <c r="P38" s="98"/>
      <c r="Q38" s="20"/>
      <c r="R38" s="20"/>
      <c r="S38" s="20"/>
      <c r="T38" s="20"/>
      <c r="U38" s="20"/>
      <c r="V38" s="20"/>
      <c r="W38" s="20"/>
      <c r="X38" s="20"/>
      <c r="Y38" s="20"/>
      <c r="Z38" s="20"/>
      <c r="AA38" s="20"/>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row>
    <row r="39" spans="2:57" s="32" customFormat="1" ht="23.25" customHeight="1" x14ac:dyDescent="0.3">
      <c r="B39" s="98" t="s">
        <v>113</v>
      </c>
      <c r="C39" s="98"/>
      <c r="D39" s="98"/>
      <c r="E39" s="98"/>
      <c r="F39" s="98"/>
      <c r="G39" s="98"/>
      <c r="H39" s="98"/>
      <c r="I39" s="98"/>
      <c r="J39" s="98"/>
      <c r="K39" s="98"/>
      <c r="L39" s="98"/>
      <c r="M39" s="98"/>
      <c r="N39" s="98"/>
      <c r="O39" s="98"/>
      <c r="P39" s="98"/>
      <c r="Q39" s="33">
        <f t="shared" ref="Q39:AC39" si="0">+Q18-(Q19+Q20)</f>
        <v>0</v>
      </c>
      <c r="R39" s="33">
        <f t="shared" si="0"/>
        <v>0</v>
      </c>
      <c r="S39" s="33">
        <f t="shared" si="0"/>
        <v>0</v>
      </c>
      <c r="T39" s="33">
        <f t="shared" si="0"/>
        <v>0</v>
      </c>
      <c r="U39" s="33">
        <f t="shared" si="0"/>
        <v>0</v>
      </c>
      <c r="V39" s="33">
        <f t="shared" si="0"/>
        <v>0</v>
      </c>
      <c r="W39" s="33">
        <f t="shared" si="0"/>
        <v>0</v>
      </c>
      <c r="X39" s="33">
        <f t="shared" si="0"/>
        <v>0</v>
      </c>
      <c r="Y39" s="33">
        <f t="shared" si="0"/>
        <v>0</v>
      </c>
      <c r="Z39" s="33">
        <f t="shared" si="0"/>
        <v>0</v>
      </c>
      <c r="AA39" s="33">
        <f t="shared" si="0"/>
        <v>0</v>
      </c>
      <c r="AB39" s="33">
        <f t="shared" si="0"/>
        <v>0</v>
      </c>
      <c r="AC39" s="33">
        <f t="shared" si="0"/>
        <v>0</v>
      </c>
      <c r="AD39" s="33"/>
      <c r="AE39" s="33"/>
    </row>
    <row r="40" spans="2:57" s="32" customFormat="1" x14ac:dyDescent="0.3">
      <c r="B40" s="107" t="s">
        <v>54</v>
      </c>
      <c r="C40" s="107"/>
      <c r="D40" s="33">
        <f t="shared" ref="D40:AC40" si="1">+D11-(D12+D13+D14)</f>
        <v>0</v>
      </c>
      <c r="E40" s="33">
        <f t="shared" si="1"/>
        <v>0</v>
      </c>
      <c r="F40" s="33">
        <f t="shared" si="1"/>
        <v>0</v>
      </c>
      <c r="G40" s="33">
        <f t="shared" si="1"/>
        <v>0</v>
      </c>
      <c r="H40" s="33">
        <f t="shared" si="1"/>
        <v>0</v>
      </c>
      <c r="I40" s="33">
        <f t="shared" si="1"/>
        <v>0</v>
      </c>
      <c r="J40" s="33">
        <f t="shared" si="1"/>
        <v>0</v>
      </c>
      <c r="K40" s="33">
        <f t="shared" si="1"/>
        <v>0</v>
      </c>
      <c r="L40" s="33">
        <f t="shared" si="1"/>
        <v>0</v>
      </c>
      <c r="M40" s="33">
        <f t="shared" si="1"/>
        <v>0</v>
      </c>
      <c r="N40" s="33">
        <f t="shared" si="1"/>
        <v>0</v>
      </c>
      <c r="O40" s="33">
        <f t="shared" si="1"/>
        <v>0</v>
      </c>
      <c r="P40" s="33">
        <f t="shared" si="1"/>
        <v>0</v>
      </c>
      <c r="Q40" s="33">
        <f t="shared" si="1"/>
        <v>0</v>
      </c>
      <c r="R40" s="33">
        <f t="shared" si="1"/>
        <v>0</v>
      </c>
      <c r="S40" s="33">
        <f t="shared" si="1"/>
        <v>0</v>
      </c>
      <c r="T40" s="33">
        <f t="shared" si="1"/>
        <v>0</v>
      </c>
      <c r="U40" s="33">
        <f t="shared" si="1"/>
        <v>0</v>
      </c>
      <c r="V40" s="33">
        <f t="shared" si="1"/>
        <v>0</v>
      </c>
      <c r="W40" s="33">
        <f t="shared" si="1"/>
        <v>0</v>
      </c>
      <c r="X40" s="33">
        <f t="shared" si="1"/>
        <v>0</v>
      </c>
      <c r="Y40" s="33">
        <f t="shared" si="1"/>
        <v>0</v>
      </c>
      <c r="Z40" s="33">
        <f t="shared" si="1"/>
        <v>0</v>
      </c>
      <c r="AA40" s="33">
        <f t="shared" si="1"/>
        <v>0</v>
      </c>
      <c r="AB40" s="33">
        <f t="shared" si="1"/>
        <v>0</v>
      </c>
      <c r="AC40" s="33">
        <f t="shared" si="1"/>
        <v>0</v>
      </c>
      <c r="AD40" s="33"/>
      <c r="AE40" s="33"/>
    </row>
    <row r="41" spans="2:57" s="32" customFormat="1" x14ac:dyDescent="0.3">
      <c r="D41" s="33">
        <f t="shared" ref="D41:AC41" si="2">(D23+D18)-D11</f>
        <v>0</v>
      </c>
      <c r="E41" s="33">
        <f t="shared" si="2"/>
        <v>0</v>
      </c>
      <c r="F41" s="33">
        <f t="shared" si="2"/>
        <v>0</v>
      </c>
      <c r="G41" s="33">
        <f t="shared" si="2"/>
        <v>0</v>
      </c>
      <c r="H41" s="33">
        <f t="shared" si="2"/>
        <v>0</v>
      </c>
      <c r="I41" s="33">
        <f t="shared" si="2"/>
        <v>0</v>
      </c>
      <c r="J41" s="33">
        <f t="shared" si="2"/>
        <v>0</v>
      </c>
      <c r="K41" s="33">
        <f t="shared" si="2"/>
        <v>0</v>
      </c>
      <c r="L41" s="33">
        <f t="shared" si="2"/>
        <v>0</v>
      </c>
      <c r="M41" s="33">
        <f t="shared" si="2"/>
        <v>0</v>
      </c>
      <c r="N41" s="33">
        <f t="shared" si="2"/>
        <v>0</v>
      </c>
      <c r="O41" s="33">
        <f t="shared" si="2"/>
        <v>0</v>
      </c>
      <c r="P41" s="33">
        <f t="shared" si="2"/>
        <v>0</v>
      </c>
      <c r="Q41" s="33">
        <f t="shared" si="2"/>
        <v>0</v>
      </c>
      <c r="R41" s="33">
        <f t="shared" si="2"/>
        <v>0</v>
      </c>
      <c r="S41" s="33">
        <f t="shared" si="2"/>
        <v>0</v>
      </c>
      <c r="T41" s="33">
        <f t="shared" si="2"/>
        <v>0</v>
      </c>
      <c r="U41" s="33">
        <f t="shared" si="2"/>
        <v>0</v>
      </c>
      <c r="V41" s="33">
        <f t="shared" si="2"/>
        <v>0</v>
      </c>
      <c r="W41" s="33">
        <f t="shared" si="2"/>
        <v>0</v>
      </c>
      <c r="X41" s="33">
        <f t="shared" si="2"/>
        <v>0</v>
      </c>
      <c r="Y41" s="33">
        <f t="shared" si="2"/>
        <v>0</v>
      </c>
      <c r="Z41" s="33">
        <f t="shared" si="2"/>
        <v>0</v>
      </c>
      <c r="AA41" s="33">
        <f t="shared" si="2"/>
        <v>0</v>
      </c>
      <c r="AB41" s="33">
        <f t="shared" si="2"/>
        <v>0</v>
      </c>
      <c r="AC41" s="33">
        <f t="shared" si="2"/>
        <v>0</v>
      </c>
      <c r="AD41" s="24">
        <f>+AD23+AD18-AD11</f>
        <v>0</v>
      </c>
      <c r="AE41" s="24">
        <f>+AE23+AE18-AE11</f>
        <v>0</v>
      </c>
      <c r="AF41" s="24">
        <f>+AF23+AF18-AF11</f>
        <v>0</v>
      </c>
      <c r="AG41" s="24">
        <f t="shared" ref="AG41:AH41" si="3">+AG23+AG18-AG11</f>
        <v>0</v>
      </c>
      <c r="AH41" s="24">
        <f t="shared" si="3"/>
        <v>0</v>
      </c>
      <c r="AI41" s="24">
        <f>+AI23+AI18-AI11</f>
        <v>0</v>
      </c>
      <c r="AJ41" s="24"/>
      <c r="AK41" s="24"/>
      <c r="AL41" s="24"/>
      <c r="AM41" s="24"/>
    </row>
  </sheetData>
  <mergeCells count="18">
    <mergeCell ref="D3:K3"/>
    <mergeCell ref="D4:K4"/>
    <mergeCell ref="D5:K5"/>
    <mergeCell ref="D6:K6"/>
    <mergeCell ref="D7:E7"/>
    <mergeCell ref="CJ9:CU9"/>
    <mergeCell ref="B39:P39"/>
    <mergeCell ref="BX9:CI9"/>
    <mergeCell ref="B40:C40"/>
    <mergeCell ref="B35:P35"/>
    <mergeCell ref="B36:P36"/>
    <mergeCell ref="BL9:BW9"/>
    <mergeCell ref="AN9:AY9"/>
    <mergeCell ref="AB9:AM9"/>
    <mergeCell ref="D9:O9"/>
    <mergeCell ref="P9:AA9"/>
    <mergeCell ref="AZ9:BK9"/>
    <mergeCell ref="B38:P38"/>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2022-01-31T19:36:46Z</dcterms:modified>
</cp:coreProperties>
</file>