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nformacion\014 PEMS HASTA EL 21 de CADA MES\2021\04 Abril\PEM 1\"/>
    </mc:Choice>
  </mc:AlternateContent>
  <bookViews>
    <workbookView xWindow="0" yWindow="0" windowWidth="23040" windowHeight="8796" activeTab="2"/>
  </bookViews>
  <sheets>
    <sheet name="ÍNDICE" sheetId="2" r:id="rId1"/>
    <sheet name="Privado" sheetId="9" r:id="rId2"/>
    <sheet name="Popular y Solidario" sheetId="7" r:id="rId3"/>
  </sheets>
  <definedNames>
    <definedName name="_xlnm.Print_Area" localSheetId="2">'Popular y Solidario'!$B$2:$CZ$23</definedName>
    <definedName name="_xlnm.Print_Area" localSheetId="1">Privado!$B$2:$BP$30</definedName>
  </definedNames>
  <calcPr calcId="152511"/>
</workbook>
</file>

<file path=xl/calcChain.xml><?xml version="1.0" encoding="utf-8"?>
<calcChain xmlns="http://schemas.openxmlformats.org/spreadsheetml/2006/main">
  <c r="CT21" i="9" l="1"/>
  <c r="CS21" i="9"/>
  <c r="CR21" i="9"/>
  <c r="CQ21" i="9"/>
  <c r="CP21" i="9"/>
  <c r="CO21" i="9"/>
  <c r="CN21" i="9"/>
  <c r="CM21" i="9"/>
  <c r="CL21" i="9"/>
  <c r="CK21" i="9"/>
  <c r="CJ21" i="9"/>
  <c r="CI21" i="9"/>
  <c r="CH21" i="9"/>
  <c r="CG21" i="9"/>
  <c r="CF21" i="9"/>
  <c r="CE21" i="9"/>
  <c r="CD21" i="9"/>
  <c r="CC21" i="9"/>
  <c r="CB21" i="9"/>
  <c r="CA21" i="9"/>
  <c r="BZ21" i="9"/>
  <c r="BY21" i="9"/>
  <c r="BX21" i="9"/>
  <c r="BW21" i="9"/>
  <c r="BV21" i="9"/>
  <c r="BU21" i="9"/>
  <c r="BT21" i="9"/>
  <c r="BS21" i="9"/>
  <c r="BR21" i="9"/>
  <c r="BQ21" i="9"/>
  <c r="BP21" i="9"/>
  <c r="BO21" i="9"/>
  <c r="BN21" i="9"/>
  <c r="BM21" i="9"/>
  <c r="BL21" i="9"/>
  <c r="BK21" i="9"/>
  <c r="BJ21" i="9"/>
  <c r="BI21" i="9"/>
  <c r="BH21" i="9"/>
  <c r="BG21" i="9"/>
  <c r="BF21" i="9"/>
  <c r="BE21" i="9"/>
  <c r="BD21" i="9"/>
  <c r="BC21" i="9"/>
  <c r="BB21" i="9"/>
  <c r="BA21"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1" i="9"/>
  <c r="CJ17" i="9"/>
  <c r="CI17" i="9"/>
  <c r="CH17" i="9"/>
  <c r="CG17" i="9"/>
  <c r="CF17" i="9"/>
  <c r="CE17" i="9"/>
  <c r="CD17" i="9"/>
  <c r="CC17" i="9"/>
  <c r="CB17" i="9"/>
  <c r="CA17" i="9"/>
  <c r="BZ17" i="9"/>
  <c r="BY17" i="9"/>
  <c r="BX17" i="9"/>
  <c r="BW17" i="9"/>
  <c r="BV17" i="9"/>
  <c r="BU17" i="9"/>
  <c r="BT17" i="9"/>
  <c r="BS17" i="9"/>
  <c r="BQ17" i="9"/>
  <c r="BP17" i="9"/>
  <c r="BO17" i="9"/>
  <c r="BN17" i="9"/>
  <c r="BM17" i="9"/>
  <c r="BL17" i="9"/>
  <c r="BK17" i="9"/>
  <c r="BJ17" i="9"/>
  <c r="BI17" i="9"/>
  <c r="BH17" i="9"/>
  <c r="BG17" i="9"/>
  <c r="BF17" i="9"/>
  <c r="BE17" i="9"/>
  <c r="BD17" i="9"/>
  <c r="BC17" i="9"/>
  <c r="BB17" i="9"/>
  <c r="BA17" i="9"/>
  <c r="AZ17" i="9"/>
  <c r="AY17" i="9"/>
  <c r="AX17" i="9"/>
  <c r="AW17" i="9"/>
  <c r="AV17" i="9"/>
  <c r="AU17" i="9"/>
  <c r="AT17" i="9"/>
  <c r="AS17" i="9"/>
  <c r="AR17" i="9"/>
  <c r="AQ17" i="9"/>
  <c r="AP17" i="9"/>
  <c r="AO17" i="9"/>
  <c r="AN17" i="9"/>
  <c r="AM17" i="9"/>
  <c r="AL17" i="9"/>
  <c r="AK17" i="9"/>
  <c r="AJ17" i="9"/>
  <c r="AI17"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BR16" i="9"/>
  <c r="CT15" i="9"/>
  <c r="CS15" i="9"/>
  <c r="CR15" i="9"/>
  <c r="CQ15" i="9"/>
  <c r="CP15" i="9"/>
  <c r="CO15" i="9"/>
  <c r="CN15" i="9"/>
  <c r="CM15" i="9"/>
  <c r="CL15" i="9"/>
  <c r="CK15" i="9"/>
  <c r="CJ15" i="9"/>
  <c r="CI15" i="9"/>
  <c r="CH15" i="9"/>
  <c r="CG15" i="9"/>
  <c r="CF15" i="9"/>
  <c r="CE15" i="9"/>
  <c r="CD15" i="9"/>
  <c r="CC15" i="9"/>
  <c r="CB15" i="9"/>
  <c r="CA15" i="9"/>
  <c r="BZ15" i="9"/>
  <c r="BY15" i="9"/>
  <c r="BX15" i="9"/>
  <c r="BW15" i="9"/>
  <c r="BV15" i="9"/>
  <c r="BU15" i="9"/>
  <c r="BT15" i="9"/>
  <c r="BS15" i="9"/>
  <c r="BQ15" i="9"/>
  <c r="BP15" i="9"/>
  <c r="BO15" i="9"/>
  <c r="BN15" i="9"/>
  <c r="BM15" i="9"/>
  <c r="BL15" i="9"/>
  <c r="BK15" i="9"/>
  <c r="BJ15" i="9"/>
  <c r="BI15" i="9"/>
  <c r="BH15" i="9"/>
  <c r="BG15" i="9"/>
  <c r="BF15" i="9"/>
  <c r="BE15" i="9"/>
  <c r="BD15" i="9"/>
  <c r="BC15" i="9"/>
  <c r="BB15" i="9"/>
  <c r="BA15" i="9"/>
  <c r="AZ15" i="9"/>
  <c r="AY15" i="9"/>
  <c r="AX15" i="9"/>
  <c r="AW15" i="9"/>
  <c r="AV15" i="9"/>
  <c r="AU15" i="9"/>
  <c r="AT15" i="9"/>
  <c r="AS15" i="9"/>
  <c r="AR15" i="9"/>
  <c r="AQ15" i="9"/>
  <c r="AP15" i="9"/>
  <c r="AO15" i="9"/>
  <c r="AN15" i="9"/>
  <c r="AM15" i="9"/>
  <c r="AL15" i="9"/>
  <c r="AK15" i="9"/>
  <c r="AJ15" i="9"/>
  <c r="AI15" i="9"/>
  <c r="AH15" i="9"/>
  <c r="AG15" i="9"/>
  <c r="AF15" i="9"/>
  <c r="AE15" i="9"/>
  <c r="AD15" i="9"/>
  <c r="AC15" i="9"/>
  <c r="AB15" i="9"/>
  <c r="AA15" i="9"/>
  <c r="Z15" i="9"/>
  <c r="Y15" i="9"/>
  <c r="X15" i="9"/>
  <c r="W15" i="9"/>
  <c r="V15" i="9"/>
  <c r="U15" i="9"/>
  <c r="T15" i="9"/>
  <c r="S15" i="9"/>
  <c r="R15" i="9"/>
  <c r="Q15" i="9"/>
  <c r="P15" i="9"/>
  <c r="O15" i="9"/>
  <c r="N15" i="9"/>
  <c r="M15" i="9"/>
  <c r="L15" i="9"/>
  <c r="K15" i="9"/>
  <c r="J15" i="9"/>
  <c r="I15" i="9"/>
  <c r="H15" i="9"/>
  <c r="G15" i="9"/>
  <c r="F15" i="9"/>
  <c r="E15" i="9"/>
  <c r="D15" i="9"/>
  <c r="BR14" i="9"/>
  <c r="BR13" i="9"/>
  <c r="BR11" i="9"/>
  <c r="BR17" i="9" s="1"/>
  <c r="BR15" i="9" l="1"/>
  <c r="CV16" i="7" l="1"/>
  <c r="CV14" i="7"/>
  <c r="CV13" i="7" l="1"/>
  <c r="CV11" i="7"/>
  <c r="CV15" i="7" l="1"/>
  <c r="CV17" i="7"/>
  <c r="CU17" i="7" l="1"/>
  <c r="CU16" i="7"/>
  <c r="CU14" i="7"/>
  <c r="CU13" i="7"/>
  <c r="CU15" i="7" s="1"/>
  <c r="CU11" i="7"/>
  <c r="CS17" i="7" l="1"/>
  <c r="CT16" i="7"/>
  <c r="CT14" i="7"/>
  <c r="CT13" i="7"/>
  <c r="CT15" i="7" s="1"/>
  <c r="CT11" i="7"/>
  <c r="CT17" i="7" s="1"/>
  <c r="CR16" i="7" l="1"/>
  <c r="CR14" i="7"/>
  <c r="CR13" i="7"/>
  <c r="CR15" i="7" s="1"/>
  <c r="CR11" i="7"/>
  <c r="CR17" i="7" l="1"/>
  <c r="CQ16" i="7" l="1"/>
  <c r="CQ14" i="7"/>
  <c r="CQ13" i="7"/>
  <c r="CQ15" i="7" s="1"/>
  <c r="CQ11" i="7"/>
  <c r="CQ17" i="7" l="1"/>
  <c r="CP16" i="7"/>
  <c r="CP14" i="7"/>
  <c r="CP13" i="7"/>
  <c r="CP15" i="7" s="1"/>
  <c r="CP11" i="7"/>
  <c r="CP17" i="7" s="1"/>
  <c r="CO16" i="7" l="1"/>
  <c r="CO14" i="7"/>
  <c r="CO13" i="7"/>
  <c r="CO15" i="7" l="1"/>
  <c r="CO11" i="7"/>
  <c r="CO17" i="7" l="1"/>
  <c r="CN16" i="7" l="1"/>
  <c r="CN14" i="7"/>
  <c r="CN13" i="7"/>
  <c r="CN15" i="7" s="1"/>
  <c r="CN11" i="7"/>
  <c r="CN17" i="7" s="1"/>
  <c r="CM16" i="7" l="1"/>
  <c r="CM14" i="7"/>
  <c r="CM13" i="7"/>
  <c r="CM11" i="7"/>
  <c r="CM17" i="7" s="1"/>
  <c r="CM15" i="7" l="1"/>
  <c r="CL16" i="7"/>
  <c r="CL14" i="7"/>
  <c r="CL13" i="7"/>
  <c r="CL15" i="7" s="1"/>
  <c r="CL11" i="7"/>
  <c r="CL17" i="7" s="1"/>
  <c r="CK16" i="7" l="1"/>
  <c r="CK14" i="7"/>
  <c r="CK13" i="7"/>
  <c r="CK15" i="7" s="1"/>
  <c r="CK11" i="7"/>
  <c r="CK17" i="7" l="1"/>
  <c r="CJ16" i="7"/>
  <c r="CJ14" i="7"/>
  <c r="CJ13" i="7"/>
  <c r="CJ15" i="7" s="1"/>
  <c r="CJ11" i="7"/>
  <c r="CJ17" i="7" s="1"/>
  <c r="CI17" i="7" l="1"/>
  <c r="CI16" i="7"/>
  <c r="CI14" i="7"/>
  <c r="CI13" i="7"/>
  <c r="CI15" i="7" s="1"/>
  <c r="CI11" i="7"/>
  <c r="CH17" i="7" l="1"/>
  <c r="CH16" i="7"/>
  <c r="CH15" i="7"/>
  <c r="CH14" i="7"/>
  <c r="CH13" i="7"/>
  <c r="CH11" i="7"/>
  <c r="CG17" i="7" l="1"/>
  <c r="CG16" i="7"/>
  <c r="CG15" i="7"/>
  <c r="CG14" i="7"/>
  <c r="CG13" i="7"/>
  <c r="CG11" i="7"/>
  <c r="CE17" i="7" l="1"/>
  <c r="CF16" i="7"/>
  <c r="CF17" i="7" s="1"/>
  <c r="CF14" i="7"/>
  <c r="CF13" i="7"/>
  <c r="CF15" i="7" s="1"/>
  <c r="CD16" i="7" l="1"/>
  <c r="CD14" i="7"/>
  <c r="CD13" i="7"/>
  <c r="CC15" i="7" l="1"/>
  <c r="CD15" i="7"/>
  <c r="CD11" i="7" l="1"/>
  <c r="CC17" i="7" l="1"/>
  <c r="CD17" i="7"/>
  <c r="CB16" i="7" l="1"/>
  <c r="CB14" i="7"/>
  <c r="CB13" i="7"/>
  <c r="CB15" i="7" s="1"/>
  <c r="CB11" i="7"/>
  <c r="CB17" i="7" s="1"/>
  <c r="BX21" i="7" l="1"/>
  <c r="BW21" i="7"/>
  <c r="BV21" i="7"/>
  <c r="BU21" i="7"/>
  <c r="BT21"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BZ17" i="7"/>
  <c r="BX17" i="7"/>
  <c r="BW17" i="7"/>
  <c r="BV17" i="7"/>
  <c r="BU17" i="7"/>
  <c r="BT17" i="7"/>
  <c r="BS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A16" i="7"/>
  <c r="CA17" i="7" s="1"/>
  <c r="BY16" i="7"/>
  <c r="BR16" i="7"/>
  <c r="BZ15" i="7"/>
  <c r="BY15" i="7"/>
  <c r="BX15" i="7"/>
  <c r="BW15" i="7"/>
  <c r="BV15" i="7"/>
  <c r="BU15" i="7"/>
  <c r="BT15" i="7"/>
  <c r="BS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A14" i="7"/>
  <c r="BY14" i="7"/>
  <c r="BR14" i="7"/>
  <c r="CA13" i="7"/>
  <c r="BR13" i="7"/>
  <c r="BY11" i="7"/>
  <c r="BR11" i="7"/>
  <c r="CA15" i="7" l="1"/>
  <c r="BR17" i="7"/>
  <c r="BY17" i="7"/>
  <c r="BR15" i="7"/>
</calcChain>
</file>

<file path=xl/sharedStrings.xml><?xml version="1.0" encoding="utf-8"?>
<sst xmlns="http://schemas.openxmlformats.org/spreadsheetml/2006/main" count="285" uniqueCount="96">
  <si>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</si>
  <si>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</si>
  <si>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</si>
  <si>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</si>
  <si>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</si>
  <si>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</si>
  <si>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</si>
  <si>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</si>
  <si>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</si>
  <si>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</si>
  <si>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</si>
  <si>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</si>
  <si>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</si>
  <si>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</si>
  <si>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</si>
  <si>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</si>
  <si>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</si>
  <si>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</si>
  <si>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</si>
  <si>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</si>
  <si>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</si>
  <si>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</si>
  <si>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</si>
  <si>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</si>
  <si>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</si>
  <si>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</si>
  <si>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</si>
  <si>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</si>
  <si>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</si>
  <si>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</si>
  <si>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</si>
  <si>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</si>
  <si>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</si>
  <si>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</si>
  <si>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</si>
  <si>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</si>
  <si>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</si>
  <si>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</si>
  <si>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</si>
  <si>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</si>
  <si>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</si>
  <si>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</si>
  <si>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</si>
  <si>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</si>
  <si>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</si>
  <si>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</si>
  <si>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</si>
  <si>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</si>
  <si>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</si>
  <si>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</si>
  <si>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</si>
  <si>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</si>
  <si>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</si>
  <si>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</si>
  <si>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</si>
  <si>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</si>
  <si>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</si>
  <si>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</si>
  <si>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</si>
  <si>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</si>
  <si>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</si>
  <si>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</si>
  <si>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</si>
  <si>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</si>
  <si>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</si>
  <si>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</si>
  <si>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</si>
  <si>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</si>
  <si>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</si>
  <si>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Año 2021</t>
  </si>
  <si>
    <t>PATRIMONIO Y COBERTURA DEL FONDO DE SEGURO DE DEPÓSITOS DEL SISTEMA PRIVADO</t>
  </si>
  <si>
    <t xml:space="preserve">Diciembre (6) </t>
  </si>
  <si>
    <t>Enero (7)</t>
  </si>
  <si>
    <t>Febrero (8)</t>
  </si>
  <si>
    <t>Marzo (8)</t>
  </si>
  <si>
    <t>Mayo (8)</t>
  </si>
  <si>
    <t>Julio (8)</t>
  </si>
  <si>
    <t>Agosto (8)</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</si>
  <si>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</si>
  <si>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</si>
  <si>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</si>
  <si>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</si>
  <si>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</si>
  <si>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</si>
  <si>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</si>
  <si>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</si>
  <si>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</si>
  <si>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</si>
  <si>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</si>
  <si>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</si>
  <si>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</si>
  <si>
    <t>Abril (10)</t>
  </si>
  <si>
    <r>
      <t xml:space="preserve">(10) Se dispone de </t>
    </r>
    <r>
      <rPr>
        <b/>
        <sz val="10"/>
        <color theme="1"/>
        <rFont val="Calibri"/>
        <family val="2"/>
        <scheme val="minor"/>
      </rPr>
      <t xml:space="preserve">143 </t>
    </r>
    <r>
      <rPr>
        <sz val="10"/>
        <color theme="1"/>
        <rFont val="Calibri"/>
        <family val="2"/>
        <scheme val="minor"/>
      </rPr>
      <t>EFIS con estructuras D01 al 30 de abril de 2021 validadas.
        Se dispone de</t>
    </r>
    <r>
      <rPr>
        <b/>
        <sz val="10"/>
        <color theme="1"/>
        <rFont val="Calibri"/>
        <family val="2"/>
        <scheme val="minor"/>
      </rPr>
      <t xml:space="preserve"> 363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4</t>
    </r>
    <r>
      <rPr>
        <sz val="10"/>
        <color theme="1"/>
        <rFont val="Calibri"/>
        <family val="2"/>
        <scheme val="minor"/>
      </rPr>
      <t xml:space="preserve"> EFIS que no cuentan con estructuras  D01 por lo que se encuentran con saldos de depósitos estimados conforme los balances mensuales (B11).</t>
    </r>
  </si>
  <si>
    <t>Al 30 de abril de 2021</t>
  </si>
  <si>
    <r>
      <t xml:space="preserve">PUBLICACIÓN ESTADÍSTICA MENSUAL 
</t>
    </r>
    <r>
      <rPr>
        <b/>
        <sz val="11"/>
        <color theme="0" tint="-0.499984740745262"/>
        <rFont val="Garamond"/>
        <family val="1"/>
      </rPr>
      <t>(datos al 30 de abril de 2021)</t>
    </r>
  </si>
  <si>
    <t>30 de abril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</si>
</sst>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7"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4">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cellStyleXfs>
  <cellXfs count="134">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0" fontId="0" fillId="0" borderId="0" xfId="0"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8" fillId="4" borderId="1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Border="1" applyAlignment="1">
      <alignment horizontal="center" vertical="center"/>
    </xf>
    <xf numFmtId="10" fontId="10" fillId="3" borderId="0" xfId="2" applyNumberFormat="1" applyFont="1" applyFill="1" applyBorder="1"/>
    <xf numFmtId="166" fontId="0" fillId="0" borderId="0" xfId="1" applyNumberFormat="1" applyFont="1"/>
    <xf numFmtId="17" fontId="9" fillId="4" borderId="8" xfId="0" quotePrefix="1" applyNumberFormat="1" applyFont="1" applyFill="1" applyBorder="1" applyAlignment="1">
      <alignment horizontal="center" vertical="center"/>
    </xf>
    <xf numFmtId="17" fontId="9" fillId="4" borderId="1"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10" fontId="11" fillId="3" borderId="1" xfId="2" applyNumberFormat="1" applyFont="1" applyFill="1" applyBorder="1"/>
    <xf numFmtId="167" fontId="10" fillId="3" borderId="2" xfId="1" applyNumberFormat="1" applyFont="1" applyFill="1" applyBorder="1"/>
    <xf numFmtId="10" fontId="10" fillId="3" borderId="2" xfId="2"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167" fontId="2" fillId="0" borderId="0" xfId="0" applyNumberFormat="1" applyFont="1"/>
    <xf numFmtId="167" fontId="18" fillId="0" borderId="0" xfId="0" applyNumberFormat="1" applyFont="1"/>
    <xf numFmtId="0" fontId="18" fillId="0" borderId="0" xfId="0" applyFont="1"/>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I15" sqref="I15"/>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111" t="s">
        <v>94</v>
      </c>
      <c r="H2" s="111"/>
    </row>
    <row r="3" spans="2:8" x14ac:dyDescent="0.3">
      <c r="G3" s="111"/>
      <c r="H3" s="111"/>
    </row>
    <row r="4" spans="2:8" x14ac:dyDescent="0.3">
      <c r="G4" s="111"/>
      <c r="H4" s="111"/>
    </row>
    <row r="5" spans="2:8" ht="24.75" customHeight="1" x14ac:dyDescent="0.3">
      <c r="G5" s="111"/>
      <c r="H5" s="111"/>
    </row>
    <row r="6" spans="2:8" x14ac:dyDescent="0.3">
      <c r="G6" s="111"/>
      <c r="H6" s="111"/>
    </row>
    <row r="8" spans="2:8" ht="18" x14ac:dyDescent="0.35">
      <c r="B8" s="108" t="s">
        <v>36</v>
      </c>
      <c r="C8" s="108"/>
      <c r="D8" s="108"/>
      <c r="E8" s="108"/>
      <c r="F8" s="108"/>
      <c r="G8" s="108"/>
      <c r="H8" s="108"/>
    </row>
    <row r="10" spans="2:8" x14ac:dyDescent="0.3">
      <c r="B10" s="48" t="s">
        <v>37</v>
      </c>
      <c r="C10" s="109" t="s">
        <v>29</v>
      </c>
      <c r="D10" s="109"/>
      <c r="E10" s="109"/>
      <c r="F10" s="109"/>
      <c r="G10" s="109"/>
      <c r="H10" s="109"/>
    </row>
    <row r="11" spans="2:8" x14ac:dyDescent="0.3">
      <c r="B11" s="47"/>
      <c r="C11" s="11"/>
      <c r="D11" s="11"/>
      <c r="E11" s="11"/>
      <c r="F11" s="11"/>
      <c r="G11" s="11"/>
      <c r="H11" s="11"/>
    </row>
    <row r="12" spans="2:8" x14ac:dyDescent="0.3">
      <c r="B12" s="49" t="s">
        <v>38</v>
      </c>
      <c r="C12" s="110" t="s">
        <v>30</v>
      </c>
      <c r="D12" s="110"/>
      <c r="E12" s="110"/>
      <c r="F12" s="110"/>
      <c r="G12" s="110"/>
      <c r="H12" s="110"/>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0"/>
  <sheetViews>
    <sheetView showGridLines="0" zoomScale="94" zoomScaleNormal="94" workbookViewId="0">
      <pane xSplit="3" ySplit="10" topLeftCell="D20" activePane="bottomRight" state="frozen"/>
      <selection activeCell="H24" sqref="H24"/>
      <selection pane="topRight" activeCell="H24" sqref="H24"/>
      <selection pane="bottomLeft" activeCell="H24" sqref="H24"/>
      <selection pane="bottomRight" activeCell="A37" sqref="A37:XFD76"/>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03" width="13.6640625" customWidth="1"/>
    <col min="104" max="105" width="16.88671875" customWidth="1"/>
    <col min="106" max="106" width="15.33203125" customWidth="1"/>
    <col min="107" max="107" width="18.88671875" bestFit="1" customWidth="1"/>
  </cols>
  <sheetData>
    <row r="1" spans="2:108" ht="4.5" customHeight="1" x14ac:dyDescent="0.3"/>
    <row r="3" spans="2:108" ht="18" x14ac:dyDescent="0.3">
      <c r="B3" s="40"/>
      <c r="C3" s="40"/>
      <c r="D3" s="128" t="s">
        <v>27</v>
      </c>
      <c r="E3" s="128"/>
      <c r="F3" s="128"/>
      <c r="G3" s="128"/>
      <c r="H3" s="128"/>
      <c r="I3" s="128"/>
      <c r="J3" s="128"/>
      <c r="K3" s="128"/>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Z3" s="40"/>
      <c r="DA3" s="9"/>
    </row>
    <row r="4" spans="2:108" ht="15.6" x14ac:dyDescent="0.3">
      <c r="B4" s="41"/>
      <c r="C4" s="41"/>
      <c r="D4" s="129" t="s">
        <v>70</v>
      </c>
      <c r="E4" s="129"/>
      <c r="F4" s="129"/>
      <c r="G4" s="129"/>
      <c r="H4" s="129"/>
      <c r="I4" s="129"/>
      <c r="J4" s="129"/>
      <c r="K4" s="129"/>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Z4" s="41"/>
      <c r="DA4" s="86"/>
    </row>
    <row r="5" spans="2:108" x14ac:dyDescent="0.3">
      <c r="B5" s="42"/>
      <c r="C5" s="42"/>
      <c r="D5" s="129" t="s">
        <v>93</v>
      </c>
      <c r="E5" s="129"/>
      <c r="F5" s="129"/>
      <c r="G5" s="129"/>
      <c r="H5" s="129"/>
      <c r="I5" s="129"/>
      <c r="J5" s="129"/>
      <c r="K5" s="129"/>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Z5" s="42"/>
      <c r="DA5" s="10"/>
    </row>
    <row r="6" spans="2:108" x14ac:dyDescent="0.3">
      <c r="D6" s="130" t="s">
        <v>32</v>
      </c>
      <c r="E6" s="130"/>
      <c r="F6" s="130"/>
      <c r="G6" s="130"/>
      <c r="H6" s="130"/>
      <c r="I6" s="130"/>
      <c r="J6" s="130"/>
      <c r="K6" s="130"/>
    </row>
    <row r="7" spans="2:108" x14ac:dyDescent="0.3">
      <c r="D7" s="131" t="s">
        <v>31</v>
      </c>
      <c r="E7" s="131"/>
      <c r="F7" s="87"/>
      <c r="G7" s="87"/>
      <c r="H7" s="87"/>
      <c r="I7" s="87"/>
      <c r="J7" s="87"/>
      <c r="K7" s="87"/>
      <c r="AX7" s="62"/>
      <c r="AY7" s="62"/>
      <c r="AZ7" s="62"/>
      <c r="BA7" s="62"/>
      <c r="BB7" s="62"/>
      <c r="BC7" s="62"/>
      <c r="BD7" s="62"/>
      <c r="BE7" s="62"/>
      <c r="BF7" s="62"/>
      <c r="BG7" s="62"/>
      <c r="BH7" s="62"/>
      <c r="BI7" s="62"/>
      <c r="BJ7" s="62"/>
      <c r="BK7" s="62"/>
      <c r="BL7" s="6"/>
      <c r="BM7" s="6"/>
      <c r="BN7" s="6"/>
      <c r="BO7" s="6"/>
      <c r="BP7" s="6"/>
      <c r="BQ7" s="6"/>
      <c r="BR7" s="6"/>
      <c r="BS7" s="6"/>
      <c r="BT7" s="6"/>
      <c r="BU7" s="6"/>
      <c r="BV7" s="6"/>
      <c r="BW7" s="6"/>
      <c r="BX7" s="6"/>
      <c r="BY7" s="6"/>
      <c r="BZ7" s="6"/>
      <c r="CA7" s="6"/>
      <c r="CB7" s="6"/>
      <c r="CC7" s="6"/>
      <c r="CD7" s="6"/>
      <c r="CE7" s="6"/>
      <c r="CF7" s="6"/>
      <c r="CG7" s="6"/>
      <c r="CH7" s="6"/>
      <c r="CI7" s="6"/>
      <c r="CZ7" s="6"/>
    </row>
    <row r="8" spans="2:108" x14ac:dyDescent="0.3">
      <c r="BL8" s="64"/>
      <c r="BM8" s="64"/>
      <c r="BN8" s="64"/>
      <c r="BO8" s="64"/>
      <c r="BP8" s="64"/>
      <c r="BQ8" s="64"/>
      <c r="BR8" s="64"/>
      <c r="BS8" s="89"/>
      <c r="BT8" s="89"/>
      <c r="BU8" s="89"/>
      <c r="BV8" s="89"/>
      <c r="BW8" s="89"/>
      <c r="BX8" s="89"/>
      <c r="BY8" s="89"/>
      <c r="BZ8" s="89"/>
      <c r="CA8" s="89"/>
      <c r="CB8" s="89"/>
      <c r="CC8" s="89"/>
      <c r="CD8" s="89"/>
      <c r="CE8" s="89"/>
      <c r="CF8" s="89"/>
      <c r="CG8" s="89"/>
      <c r="CH8" s="89"/>
      <c r="CI8" s="89"/>
      <c r="CZ8" s="64"/>
      <c r="DC8" s="6"/>
    </row>
    <row r="9" spans="2:108" ht="30" customHeight="1" x14ac:dyDescent="0.3">
      <c r="D9" s="122" t="s">
        <v>12</v>
      </c>
      <c r="E9" s="123"/>
      <c r="F9" s="123"/>
      <c r="G9" s="123"/>
      <c r="H9" s="123"/>
      <c r="I9" s="123"/>
      <c r="J9" s="123"/>
      <c r="K9" s="123"/>
      <c r="L9" s="123"/>
      <c r="M9" s="123"/>
      <c r="N9" s="123"/>
      <c r="O9" s="124"/>
      <c r="P9" s="122" t="s">
        <v>22</v>
      </c>
      <c r="Q9" s="123"/>
      <c r="R9" s="123"/>
      <c r="S9" s="123"/>
      <c r="T9" s="123"/>
      <c r="U9" s="123"/>
      <c r="V9" s="123"/>
      <c r="W9" s="123"/>
      <c r="X9" s="123"/>
      <c r="Y9" s="123"/>
      <c r="Z9" s="123"/>
      <c r="AA9" s="124"/>
      <c r="AB9" s="125" t="s">
        <v>23</v>
      </c>
      <c r="AC9" s="126"/>
      <c r="AD9" s="126"/>
      <c r="AE9" s="126"/>
      <c r="AF9" s="126"/>
      <c r="AG9" s="126"/>
      <c r="AH9" s="126"/>
      <c r="AI9" s="126"/>
      <c r="AJ9" s="126"/>
      <c r="AK9" s="126"/>
      <c r="AL9" s="126"/>
      <c r="AM9" s="127"/>
      <c r="AN9" s="114" t="s">
        <v>24</v>
      </c>
      <c r="AO9" s="115"/>
      <c r="AP9" s="115"/>
      <c r="AQ9" s="115"/>
      <c r="AR9" s="115"/>
      <c r="AS9" s="115"/>
      <c r="AT9" s="115"/>
      <c r="AU9" s="115"/>
      <c r="AV9" s="115"/>
      <c r="AW9" s="115"/>
      <c r="AX9" s="115"/>
      <c r="AY9" s="116"/>
      <c r="AZ9" s="114" t="s">
        <v>49</v>
      </c>
      <c r="BA9" s="115"/>
      <c r="BB9" s="115"/>
      <c r="BC9" s="115"/>
      <c r="BD9" s="115"/>
      <c r="BE9" s="115"/>
      <c r="BF9" s="115"/>
      <c r="BG9" s="115"/>
      <c r="BH9" s="115"/>
      <c r="BI9" s="115"/>
      <c r="BJ9" s="115"/>
      <c r="BK9" s="116"/>
      <c r="BL9" s="114" t="s">
        <v>58</v>
      </c>
      <c r="BM9" s="115"/>
      <c r="BN9" s="115"/>
      <c r="BO9" s="115"/>
      <c r="BP9" s="115"/>
      <c r="BQ9" s="115"/>
      <c r="BR9" s="115"/>
      <c r="BS9" s="115"/>
      <c r="BT9" s="115"/>
      <c r="BU9" s="115"/>
      <c r="BV9" s="115"/>
      <c r="BW9" s="116"/>
      <c r="BX9" s="114" t="s">
        <v>60</v>
      </c>
      <c r="BY9" s="115"/>
      <c r="BZ9" s="115"/>
      <c r="CA9" s="115"/>
      <c r="CB9" s="115"/>
      <c r="CC9" s="115"/>
      <c r="CD9" s="115"/>
      <c r="CE9" s="115"/>
      <c r="CF9" s="115"/>
      <c r="CG9" s="115"/>
      <c r="CH9" s="115"/>
      <c r="CI9" s="116"/>
      <c r="CJ9" s="114" t="s">
        <v>66</v>
      </c>
      <c r="CK9" s="115"/>
      <c r="CL9" s="115"/>
      <c r="CM9" s="115"/>
      <c r="CN9" s="115"/>
      <c r="CO9" s="115"/>
      <c r="CP9" s="115"/>
      <c r="CQ9" s="115"/>
      <c r="CR9" s="115"/>
      <c r="CS9" s="115"/>
      <c r="CT9" s="115"/>
      <c r="CU9" s="116"/>
      <c r="CV9" s="117" t="s">
        <v>69</v>
      </c>
      <c r="CW9" s="118"/>
      <c r="CX9" s="119"/>
      <c r="CY9" s="85"/>
      <c r="CZ9" s="120" t="s">
        <v>59</v>
      </c>
      <c r="DA9" s="120" t="s">
        <v>33</v>
      </c>
      <c r="DB9" s="120" t="s">
        <v>25</v>
      </c>
      <c r="DC9" s="120" t="s">
        <v>34</v>
      </c>
    </row>
    <row r="10" spans="2:108"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71</v>
      </c>
      <c r="AZ10" s="13" t="s">
        <v>19</v>
      </c>
      <c r="BA10" s="13" t="s">
        <v>0</v>
      </c>
      <c r="BB10" s="13" t="s">
        <v>15</v>
      </c>
      <c r="BC10" s="13" t="s">
        <v>16</v>
      </c>
      <c r="BD10" s="13" t="s">
        <v>51</v>
      </c>
      <c r="BE10" s="13" t="s">
        <v>20</v>
      </c>
      <c r="BF10" s="13" t="s">
        <v>4</v>
      </c>
      <c r="BG10" s="13" t="s">
        <v>21</v>
      </c>
      <c r="BH10" s="13" t="s">
        <v>8</v>
      </c>
      <c r="BI10" s="13" t="s">
        <v>9</v>
      </c>
      <c r="BJ10" s="13" t="s">
        <v>10</v>
      </c>
      <c r="BK10" s="13" t="s">
        <v>11</v>
      </c>
      <c r="BL10" s="90" t="s">
        <v>19</v>
      </c>
      <c r="BM10" s="90" t="s">
        <v>0</v>
      </c>
      <c r="BN10" s="90" t="s">
        <v>15</v>
      </c>
      <c r="BO10" s="90" t="s">
        <v>16</v>
      </c>
      <c r="BP10" s="90" t="s">
        <v>17</v>
      </c>
      <c r="BQ10" s="90" t="s">
        <v>20</v>
      </c>
      <c r="BR10" s="90" t="s">
        <v>4</v>
      </c>
      <c r="BS10" s="90" t="s">
        <v>21</v>
      </c>
      <c r="BT10" s="90" t="s">
        <v>8</v>
      </c>
      <c r="BU10" s="90" t="s">
        <v>9</v>
      </c>
      <c r="BV10" s="90" t="s">
        <v>10</v>
      </c>
      <c r="BW10" s="90" t="s">
        <v>11</v>
      </c>
      <c r="BX10" s="90" t="s">
        <v>19</v>
      </c>
      <c r="BY10" s="90" t="s">
        <v>0</v>
      </c>
      <c r="BZ10" s="90" t="s">
        <v>15</v>
      </c>
      <c r="CA10" s="90" t="s">
        <v>16</v>
      </c>
      <c r="CB10" s="90" t="s">
        <v>17</v>
      </c>
      <c r="CC10" s="90" t="s">
        <v>20</v>
      </c>
      <c r="CD10" s="90" t="s">
        <v>4</v>
      </c>
      <c r="CE10" s="90" t="s">
        <v>21</v>
      </c>
      <c r="CF10" s="90" t="s">
        <v>8</v>
      </c>
      <c r="CG10" s="90" t="s">
        <v>65</v>
      </c>
      <c r="CH10" s="90" t="s">
        <v>10</v>
      </c>
      <c r="CI10" s="90" t="s">
        <v>11</v>
      </c>
      <c r="CJ10" s="90" t="s">
        <v>72</v>
      </c>
      <c r="CK10" s="90" t="s">
        <v>73</v>
      </c>
      <c r="CL10" s="90" t="s">
        <v>74</v>
      </c>
      <c r="CM10" s="90" t="s">
        <v>54</v>
      </c>
      <c r="CN10" s="90" t="s">
        <v>75</v>
      </c>
      <c r="CO10" s="90" t="s">
        <v>20</v>
      </c>
      <c r="CP10" s="90" t="s">
        <v>76</v>
      </c>
      <c r="CQ10" s="90" t="s">
        <v>77</v>
      </c>
      <c r="CR10" s="90" t="s">
        <v>8</v>
      </c>
      <c r="CS10" s="90" t="s">
        <v>9</v>
      </c>
      <c r="CT10" s="90" t="s">
        <v>10</v>
      </c>
      <c r="CU10" s="90" t="s">
        <v>11</v>
      </c>
      <c r="CV10" s="91" t="s">
        <v>13</v>
      </c>
      <c r="CW10" s="91" t="s">
        <v>0</v>
      </c>
      <c r="CX10" s="91" t="s">
        <v>15</v>
      </c>
      <c r="CY10" s="91" t="s">
        <v>16</v>
      </c>
      <c r="CZ10" s="121"/>
      <c r="DA10" s="121"/>
      <c r="DB10" s="121"/>
      <c r="DC10" s="121"/>
    </row>
    <row r="11" spans="2:108" s="15" customFormat="1" x14ac:dyDescent="0.3">
      <c r="B11" s="16" t="s">
        <v>78</v>
      </c>
      <c r="C11" s="17"/>
      <c r="D11" s="18">
        <v>636427.39296000008</v>
      </c>
      <c r="E11" s="18">
        <v>651437.4635800001</v>
      </c>
      <c r="F11" s="18">
        <v>665823.90379999997</v>
      </c>
      <c r="G11" s="18">
        <v>680703.87474</v>
      </c>
      <c r="H11" s="18">
        <v>695167.67573000002</v>
      </c>
      <c r="I11" s="18">
        <v>709798.50873999996</v>
      </c>
      <c r="J11" s="18">
        <v>656226.60291000002</v>
      </c>
      <c r="K11" s="18">
        <v>669350.04471000005</v>
      </c>
      <c r="L11" s="18">
        <v>682547.90467999992</v>
      </c>
      <c r="M11" s="18">
        <v>695863.45725999994</v>
      </c>
      <c r="N11" s="18">
        <v>709272.74294000003</v>
      </c>
      <c r="O11" s="18">
        <v>721287.74194000009</v>
      </c>
      <c r="P11" s="18">
        <v>736667.64346000005</v>
      </c>
      <c r="Q11" s="18">
        <v>753070.34011999995</v>
      </c>
      <c r="R11" s="18">
        <v>767946.32638999994</v>
      </c>
      <c r="S11" s="18">
        <v>783366.58709000004</v>
      </c>
      <c r="T11" s="18">
        <v>796985.0602999999</v>
      </c>
      <c r="U11" s="18">
        <v>798405.67434000003</v>
      </c>
      <c r="V11" s="18">
        <v>799898.35149000003</v>
      </c>
      <c r="W11" s="18">
        <v>841478.08945000009</v>
      </c>
      <c r="X11" s="18">
        <v>842832.95685000008</v>
      </c>
      <c r="Y11" s="18">
        <v>871525.97148000007</v>
      </c>
      <c r="Z11" s="18">
        <v>886742.42700000003</v>
      </c>
      <c r="AA11" s="18">
        <v>902376.56709000003</v>
      </c>
      <c r="AB11" s="18">
        <v>918452.70615999994</v>
      </c>
      <c r="AC11" s="18">
        <v>920000.40287999995</v>
      </c>
      <c r="AD11" s="18">
        <v>950377.26059000008</v>
      </c>
      <c r="AE11" s="18">
        <v>966835.73677999992</v>
      </c>
      <c r="AF11" s="18">
        <v>982862.01114999992</v>
      </c>
      <c r="AG11" s="18">
        <v>998471.15755999996</v>
      </c>
      <c r="AH11" s="18">
        <v>1014016.77933</v>
      </c>
      <c r="AI11" s="18">
        <v>1029421.15478</v>
      </c>
      <c r="AJ11" s="18">
        <v>1044316.50422</v>
      </c>
      <c r="AK11" s="18">
        <v>1059432.28819</v>
      </c>
      <c r="AL11" s="18">
        <v>1074228.9712799999</v>
      </c>
      <c r="AM11" s="18">
        <v>1089147.1566900001</v>
      </c>
      <c r="AN11" s="18">
        <v>1103945.5025299999</v>
      </c>
      <c r="AO11" s="18">
        <v>1118833.04669</v>
      </c>
      <c r="AP11" s="18">
        <v>1133971.13078</v>
      </c>
      <c r="AQ11" s="18">
        <v>1148916.96383</v>
      </c>
      <c r="AR11" s="92">
        <v>1164319.7718499999</v>
      </c>
      <c r="AS11" s="92">
        <v>1179435.98841</v>
      </c>
      <c r="AT11" s="92">
        <v>1194604.8214400001</v>
      </c>
      <c r="AU11" s="92">
        <v>1179519.1615800001</v>
      </c>
      <c r="AV11" s="92">
        <v>1194263.3730599999</v>
      </c>
      <c r="AW11" s="92">
        <v>1209408.28364</v>
      </c>
      <c r="AX11" s="92">
        <v>1225001.16102</v>
      </c>
      <c r="AY11" s="92">
        <v>1235529.96306</v>
      </c>
      <c r="AZ11" s="93">
        <v>1212962.2196299999</v>
      </c>
      <c r="BA11" s="93">
        <v>1229098.98756</v>
      </c>
      <c r="BB11" s="93">
        <v>1245162.81935</v>
      </c>
      <c r="BC11" s="93">
        <v>1260965.2733</v>
      </c>
      <c r="BD11" s="93">
        <v>1278301.1664499999</v>
      </c>
      <c r="BE11" s="93">
        <v>1294360.3786299999</v>
      </c>
      <c r="BF11" s="93">
        <v>1310727.05785</v>
      </c>
      <c r="BG11" s="93">
        <v>1327247.78828</v>
      </c>
      <c r="BH11" s="93">
        <v>1341818.7971199998</v>
      </c>
      <c r="BI11" s="93">
        <v>1359498.66035</v>
      </c>
      <c r="BJ11" s="93">
        <v>1375604.88686</v>
      </c>
      <c r="BK11" s="93">
        <v>1391981.5059</v>
      </c>
      <c r="BL11" s="93">
        <v>1407060.7225899999</v>
      </c>
      <c r="BM11" s="93">
        <v>1407060.7226</v>
      </c>
      <c r="BN11" s="93">
        <v>1437423.4697100001</v>
      </c>
      <c r="BO11" s="93">
        <v>1452875.2148599999</v>
      </c>
      <c r="BP11" s="93">
        <v>1468356.64014</v>
      </c>
      <c r="BQ11" s="93">
        <v>1483560.54684</v>
      </c>
      <c r="BR11" s="93">
        <f>1498740966.27/1000</f>
        <v>1498740.96627</v>
      </c>
      <c r="BS11" s="93">
        <v>1513988.5929700001</v>
      </c>
      <c r="BT11" s="93">
        <v>1529308.7025100002</v>
      </c>
      <c r="BU11" s="93">
        <v>1544662.99456</v>
      </c>
      <c r="BV11" s="93">
        <v>1544662.99456</v>
      </c>
      <c r="BW11" s="93">
        <v>1600512.59745</v>
      </c>
      <c r="BX11" s="93">
        <v>1616029.9681599999</v>
      </c>
      <c r="BY11" s="93">
        <v>1631501.4346399999</v>
      </c>
      <c r="BZ11" s="93">
        <v>1646990.7033200001</v>
      </c>
      <c r="CA11" s="93">
        <v>1662754.8817900002</v>
      </c>
      <c r="CB11" s="93">
        <v>1678734.4581100002</v>
      </c>
      <c r="CC11" s="93">
        <v>1694613.6231199999</v>
      </c>
      <c r="CD11" s="93">
        <v>1710540.9056099998</v>
      </c>
      <c r="CE11" s="93">
        <v>1726488.9753399999</v>
      </c>
      <c r="CF11" s="93">
        <v>1742679.90637</v>
      </c>
      <c r="CG11" s="93">
        <v>1758823.0756600001</v>
      </c>
      <c r="CH11" s="93">
        <v>1774945.3194299999</v>
      </c>
      <c r="CI11" s="93">
        <v>1826938.3748300001</v>
      </c>
      <c r="CJ11" s="93">
        <v>1826938.3748300001</v>
      </c>
      <c r="CK11" s="93">
        <v>1860418.1999900001</v>
      </c>
      <c r="CL11" s="93">
        <v>1877337.3846100001</v>
      </c>
      <c r="CM11" s="93">
        <v>1877337.3846100001</v>
      </c>
      <c r="CN11" s="93">
        <v>1877337.38047</v>
      </c>
      <c r="CO11" s="93">
        <v>1877343.20456</v>
      </c>
      <c r="CP11" s="93">
        <v>1944561.6139199999</v>
      </c>
      <c r="CQ11" s="93">
        <v>1961547.44334</v>
      </c>
      <c r="CR11" s="93">
        <v>1978650.7178720001</v>
      </c>
      <c r="CS11" s="93">
        <v>1996023.0040599999</v>
      </c>
      <c r="CT11" s="93">
        <v>2013726.6694199999</v>
      </c>
      <c r="CU11" s="93">
        <v>2075746.78498</v>
      </c>
      <c r="CV11" s="93">
        <v>2075746.78498</v>
      </c>
      <c r="CW11" s="93">
        <v>2075746.78498</v>
      </c>
      <c r="CX11" s="93">
        <v>2075746.78498</v>
      </c>
      <c r="CY11" s="93">
        <v>2131397.8186400002</v>
      </c>
      <c r="CZ11" s="94">
        <v>2.6810126390506062E-2</v>
      </c>
      <c r="DA11" s="94">
        <v>9.8111653759505035E-3</v>
      </c>
      <c r="DB11" s="94">
        <v>0.13533019483483999</v>
      </c>
      <c r="DC11" s="94">
        <v>0.12779658475227462</v>
      </c>
    </row>
    <row r="12" spans="2:108"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95"/>
      <c r="CY12" s="95"/>
      <c r="CZ12" s="96"/>
      <c r="DA12" s="96"/>
      <c r="DB12" s="96"/>
      <c r="DC12" s="96"/>
    </row>
    <row r="13" spans="2:108" s="15" customFormat="1" x14ac:dyDescent="0.3">
      <c r="B13" s="16" t="s">
        <v>79</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f>30342062232.38/1000</f>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9">
        <v>35701515.533320002</v>
      </c>
      <c r="CT13" s="19">
        <v>35646719.195469998</v>
      </c>
      <c r="CU13" s="19">
        <v>37544662.24385</v>
      </c>
      <c r="CV13" s="19">
        <v>37083376.856680006</v>
      </c>
      <c r="CW13" s="19">
        <v>36969565.690809995</v>
      </c>
      <c r="CX13" s="19">
        <v>37735591.78994</v>
      </c>
      <c r="CY13" s="19">
        <v>37470887.645889997</v>
      </c>
      <c r="CZ13" s="94">
        <v>-7.0147076405615572E-3</v>
      </c>
      <c r="DA13" s="94">
        <v>9.3991848718588678E-3</v>
      </c>
      <c r="DB13" s="94">
        <v>0.13367788117751744</v>
      </c>
      <c r="DC13" s="94">
        <v>9.2561362890395849E-2</v>
      </c>
      <c r="DD13" s="27"/>
    </row>
    <row r="14" spans="2:108"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f>8460620989.98/1000</f>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30">
        <v>9149749.9479200002</v>
      </c>
      <c r="CT14" s="30">
        <v>8867915.7188000008</v>
      </c>
      <c r="CU14" s="30">
        <v>9701755.5800100099</v>
      </c>
      <c r="CV14" s="30">
        <v>9344801.4670600034</v>
      </c>
      <c r="CW14" s="30">
        <v>9227768.0694199987</v>
      </c>
      <c r="CX14" s="30">
        <v>9290987.3696499988</v>
      </c>
      <c r="CY14" s="30">
        <v>9580642.4872099999</v>
      </c>
      <c r="CZ14" s="94">
        <v>3.1175924154863255E-2</v>
      </c>
      <c r="DA14" s="36">
        <v>8.3923530938456725E-3</v>
      </c>
      <c r="DB14" s="94">
        <v>5.5042289810673717E-2</v>
      </c>
      <c r="DC14" s="36">
        <v>6.0906196441526506E-2</v>
      </c>
      <c r="DD14" s="27"/>
    </row>
    <row r="15" spans="2:108" s="15" customFormat="1" x14ac:dyDescent="0.3">
      <c r="B15" s="28" t="s">
        <v>6</v>
      </c>
      <c r="C15" s="29"/>
      <c r="D15" s="30">
        <f>+D13-D14</f>
        <v>16045585.545729998</v>
      </c>
      <c r="E15" s="30">
        <f t="shared" ref="E15:BP15" si="0">+E13-E14</f>
        <v>16199991.412299998</v>
      </c>
      <c r="F15" s="30">
        <f t="shared" si="0"/>
        <v>16070482.928510003</v>
      </c>
      <c r="G15" s="30">
        <f t="shared" si="0"/>
        <v>15544125.607299995</v>
      </c>
      <c r="H15" s="30">
        <f t="shared" si="0"/>
        <v>16075904.992830001</v>
      </c>
      <c r="I15" s="30">
        <f t="shared" si="0"/>
        <v>16175365.259249996</v>
      </c>
      <c r="J15" s="30">
        <f t="shared" si="0"/>
        <v>16409860.774769999</v>
      </c>
      <c r="K15" s="30">
        <f t="shared" si="0"/>
        <v>16457966.641190002</v>
      </c>
      <c r="L15" s="30">
        <f t="shared" si="0"/>
        <v>16486678.491870001</v>
      </c>
      <c r="M15" s="30">
        <f t="shared" si="0"/>
        <v>16883487.660580002</v>
      </c>
      <c r="N15" s="30">
        <f>+N13-N14</f>
        <v>17462303.435010001</v>
      </c>
      <c r="O15" s="30">
        <f t="shared" si="0"/>
        <v>18214225.948350001</v>
      </c>
      <c r="P15" s="30">
        <f t="shared" si="0"/>
        <v>17796627.401450001</v>
      </c>
      <c r="Q15" s="30">
        <f t="shared" si="0"/>
        <v>17740902.47019</v>
      </c>
      <c r="R15" s="30">
        <f t="shared" si="0"/>
        <v>18171741.059270002</v>
      </c>
      <c r="S15" s="30">
        <f t="shared" si="0"/>
        <v>17637222.221140005</v>
      </c>
      <c r="T15" s="30">
        <f t="shared" si="0"/>
        <v>17892899.269400001</v>
      </c>
      <c r="U15" s="30">
        <f t="shared" si="0"/>
        <v>18260294.192880001</v>
      </c>
      <c r="V15" s="30">
        <f t="shared" si="0"/>
        <v>18697247.105519995</v>
      </c>
      <c r="W15" s="30">
        <f t="shared" si="0"/>
        <v>18899097.454749998</v>
      </c>
      <c r="X15" s="30">
        <f t="shared" si="0"/>
        <v>19243464.958120003</v>
      </c>
      <c r="Y15" s="30">
        <f t="shared" si="0"/>
        <v>19229926.215340003</v>
      </c>
      <c r="Z15" s="30">
        <f t="shared" si="0"/>
        <v>19456148.485720001</v>
      </c>
      <c r="AA15" s="30">
        <f t="shared" si="0"/>
        <v>20110000.544489998</v>
      </c>
      <c r="AB15" s="30">
        <f t="shared" si="0"/>
        <v>19663083.087570004</v>
      </c>
      <c r="AC15" s="30">
        <f t="shared" si="0"/>
        <v>19707181.885810003</v>
      </c>
      <c r="AD15" s="30">
        <f t="shared" si="0"/>
        <v>19841005.546180006</v>
      </c>
      <c r="AE15" s="30">
        <f t="shared" si="0"/>
        <v>18912390.247269996</v>
      </c>
      <c r="AF15" s="30">
        <f t="shared" si="0"/>
        <v>18923217.425639998</v>
      </c>
      <c r="AG15" s="30">
        <f t="shared" si="0"/>
        <v>18752712.890859999</v>
      </c>
      <c r="AH15" s="30">
        <f t="shared" si="0"/>
        <v>18208589.574919991</v>
      </c>
      <c r="AI15" s="30">
        <f t="shared" si="0"/>
        <v>18316223.031050008</v>
      </c>
      <c r="AJ15" s="30">
        <f t="shared" si="0"/>
        <v>17910242</v>
      </c>
      <c r="AK15" s="30">
        <f t="shared" si="0"/>
        <v>17705085.137319997</v>
      </c>
      <c r="AL15" s="30">
        <f t="shared" si="0"/>
        <v>17601875.783199996</v>
      </c>
      <c r="AM15" s="30">
        <f t="shared" si="0"/>
        <v>17525463.38239</v>
      </c>
      <c r="AN15" s="30">
        <f t="shared" si="0"/>
        <v>18021733.05432</v>
      </c>
      <c r="AO15" s="30">
        <f t="shared" si="0"/>
        <v>18501169.335729994</v>
      </c>
      <c r="AP15" s="30">
        <f t="shared" si="0"/>
        <v>19247403.023159999</v>
      </c>
      <c r="AQ15" s="30">
        <f t="shared" si="0"/>
        <v>18624229.948900003</v>
      </c>
      <c r="AR15" s="30">
        <f t="shared" si="0"/>
        <v>18642575.405170001</v>
      </c>
      <c r="AS15" s="30">
        <f t="shared" si="0"/>
        <v>19067514.954750001</v>
      </c>
      <c r="AT15" s="30">
        <f t="shared" si="0"/>
        <v>18646589.7848</v>
      </c>
      <c r="AU15" s="30">
        <f t="shared" si="0"/>
        <v>19242417.440159999</v>
      </c>
      <c r="AV15" s="30">
        <f t="shared" si="0"/>
        <v>19648487.807929989</v>
      </c>
      <c r="AW15" s="30">
        <f t="shared" si="0"/>
        <v>19729186.197000001</v>
      </c>
      <c r="AX15" s="30">
        <f t="shared" si="0"/>
        <v>19953260.21534</v>
      </c>
      <c r="AY15" s="30">
        <f t="shared" si="0"/>
        <v>21001074.818299171</v>
      </c>
      <c r="AZ15" s="30">
        <f t="shared" si="0"/>
        <v>20624098.207630001</v>
      </c>
      <c r="BA15" s="30">
        <f t="shared" si="0"/>
        <v>20786201.337060008</v>
      </c>
      <c r="BB15" s="30">
        <f t="shared" si="0"/>
        <v>21609145.524109993</v>
      </c>
      <c r="BC15" s="30">
        <f t="shared" si="0"/>
        <v>20902968.313849989</v>
      </c>
      <c r="BD15" s="30">
        <f t="shared" si="0"/>
        <v>20720494.108649999</v>
      </c>
      <c r="BE15" s="30">
        <f t="shared" si="0"/>
        <v>21028329.465050001</v>
      </c>
      <c r="BF15" s="30">
        <f t="shared" si="0"/>
        <v>20852778.307720006</v>
      </c>
      <c r="BG15" s="30">
        <f t="shared" si="0"/>
        <v>20731192.512719996</v>
      </c>
      <c r="BH15" s="30">
        <f t="shared" si="0"/>
        <v>20548357.433989994</v>
      </c>
      <c r="BI15" s="30">
        <f t="shared" si="0"/>
        <v>20890578.492899999</v>
      </c>
      <c r="BJ15" s="30">
        <f t="shared" si="0"/>
        <v>21470799.021190003</v>
      </c>
      <c r="BK15" s="30">
        <f t="shared" si="0"/>
        <v>21892304.01348</v>
      </c>
      <c r="BL15" s="30">
        <f t="shared" si="0"/>
        <v>21730536.990769997</v>
      </c>
      <c r="BM15" s="30">
        <f t="shared" si="0"/>
        <v>21940108.634259999</v>
      </c>
      <c r="BN15" s="30">
        <f t="shared" si="0"/>
        <v>22329299.388180383</v>
      </c>
      <c r="BO15" s="30">
        <f t="shared" si="0"/>
        <v>21516058.443429999</v>
      </c>
      <c r="BP15" s="30">
        <f t="shared" si="0"/>
        <v>21633467.014279995</v>
      </c>
      <c r="BQ15" s="30">
        <f t="shared" ref="BQ15:CQ15" si="1">+BQ13-BQ14</f>
        <v>21678752.180749994</v>
      </c>
      <c r="BR15" s="30">
        <f t="shared" si="1"/>
        <v>21881441.242400005</v>
      </c>
      <c r="BS15" s="30">
        <f t="shared" si="1"/>
        <v>21934466.854900002</v>
      </c>
      <c r="BT15" s="30">
        <f t="shared" si="1"/>
        <v>21742003.897880003</v>
      </c>
      <c r="BU15" s="30">
        <f t="shared" si="1"/>
        <v>21726548.632649999</v>
      </c>
      <c r="BV15" s="30">
        <f t="shared" si="1"/>
        <v>22153449.124900006</v>
      </c>
      <c r="BW15" s="30">
        <f t="shared" si="1"/>
        <v>22252197.654710002</v>
      </c>
      <c r="BX15" s="30">
        <f t="shared" si="1"/>
        <v>22275067.171560008</v>
      </c>
      <c r="BY15" s="30">
        <f t="shared" si="1"/>
        <v>22686220.599822782</v>
      </c>
      <c r="BZ15" s="30">
        <f t="shared" si="1"/>
        <v>22925265.215441339</v>
      </c>
      <c r="CA15" s="30">
        <f t="shared" si="1"/>
        <v>22863593.16691</v>
      </c>
      <c r="CB15" s="30">
        <f t="shared" si="1"/>
        <v>22725618.362270001</v>
      </c>
      <c r="CC15" s="30">
        <f t="shared" si="1"/>
        <v>22935511.95589</v>
      </c>
      <c r="CD15" s="30">
        <f t="shared" si="1"/>
        <v>23302296.250050001</v>
      </c>
      <c r="CE15" s="30">
        <f t="shared" si="1"/>
        <v>23384788.790720001</v>
      </c>
      <c r="CF15" s="30">
        <f t="shared" si="1"/>
        <v>23643299.089189999</v>
      </c>
      <c r="CG15" s="30">
        <f t="shared" si="1"/>
        <v>23556693.535640001</v>
      </c>
      <c r="CH15" s="30">
        <f t="shared" si="1"/>
        <v>23711138.706419993</v>
      </c>
      <c r="CI15" s="30">
        <f t="shared" si="1"/>
        <v>24765196.947409999</v>
      </c>
      <c r="CJ15" s="30">
        <f t="shared" si="1"/>
        <v>24766924.469209999</v>
      </c>
      <c r="CK15" s="30">
        <f t="shared" si="1"/>
        <v>25181054.696169995</v>
      </c>
      <c r="CL15" s="30">
        <f t="shared" si="1"/>
        <v>24585641.83619</v>
      </c>
      <c r="CM15" s="30">
        <f t="shared" si="1"/>
        <v>23971685.832380001</v>
      </c>
      <c r="CN15" s="30">
        <f t="shared" si="1"/>
        <v>24213110.633709997</v>
      </c>
      <c r="CO15" s="30">
        <f t="shared" si="1"/>
        <v>24672323.426929999</v>
      </c>
      <c r="CP15" s="30">
        <f t="shared" si="1"/>
        <v>24971056.941360004</v>
      </c>
      <c r="CQ15" s="30">
        <f t="shared" si="1"/>
        <v>25312251.974429995</v>
      </c>
      <c r="CR15" s="30">
        <f>+CR13-CR14</f>
        <v>25803926.794979997</v>
      </c>
      <c r="CS15" s="30">
        <f>+CS13-CS14</f>
        <v>26551765.5854</v>
      </c>
      <c r="CT15" s="30">
        <f>+CT13-CT14</f>
        <v>26778803.476669997</v>
      </c>
      <c r="CU15" s="30">
        <v>27842906.663839988</v>
      </c>
      <c r="CV15" s="30">
        <v>27738575.389620002</v>
      </c>
      <c r="CW15" s="30">
        <v>27741797.621389996</v>
      </c>
      <c r="CX15" s="30">
        <v>28444604.420290001</v>
      </c>
      <c r="CY15" s="30">
        <v>27890245.158679999</v>
      </c>
      <c r="CZ15" s="94">
        <v>-1.9489083181433497E-2</v>
      </c>
      <c r="DA15" s="36">
        <v>9.7483147642987156E-3</v>
      </c>
      <c r="DB15" s="94">
        <v>0.16346615560124533</v>
      </c>
      <c r="DC15" s="36">
        <v>0.1039298738753105</v>
      </c>
      <c r="DD15" s="27"/>
    </row>
    <row r="16" spans="2:108"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f>12039820989.98/1000</f>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33">
        <v>13157749.94792</v>
      </c>
      <c r="CT16" s="33">
        <v>12900170.635980001</v>
      </c>
      <c r="CU16" s="33">
        <v>13892356.602910001</v>
      </c>
      <c r="CV16" s="33">
        <v>13471519.282380005</v>
      </c>
      <c r="CW16" s="33">
        <v>13345807.94675</v>
      </c>
      <c r="CX16" s="33">
        <v>13408459.369649999</v>
      </c>
      <c r="CY16" s="33">
        <v>13716714.647910001</v>
      </c>
      <c r="CZ16" s="94">
        <v>2.2989611987618508E-2</v>
      </c>
      <c r="DA16" s="94">
        <v>8.1129919890985391E-3</v>
      </c>
      <c r="DB16" s="94">
        <v>6.8648695929390824E-2</v>
      </c>
      <c r="DC16" s="94">
        <v>6.3000446919929232E-2</v>
      </c>
    </row>
    <row r="17" spans="1:107" s="15" customFormat="1" x14ac:dyDescent="0.3">
      <c r="B17" s="34" t="s">
        <v>1</v>
      </c>
      <c r="C17" s="35"/>
      <c r="D17" s="36">
        <f t="shared" ref="D17:AR17" si="2">+D$11/D16</f>
        <v>6.4873943904437237E-2</v>
      </c>
      <c r="E17" s="36">
        <f t="shared" si="2"/>
        <v>6.6191377258052228E-2</v>
      </c>
      <c r="F17" s="36">
        <f t="shared" si="2"/>
        <v>6.7023883486357724E-2</v>
      </c>
      <c r="G17" s="36">
        <f t="shared" si="2"/>
        <v>6.6802603624268056E-2</v>
      </c>
      <c r="H17" s="36">
        <f t="shared" si="2"/>
        <v>6.7561073430234916E-2</v>
      </c>
      <c r="I17" s="36">
        <f t="shared" si="2"/>
        <v>6.8621812996870951E-2</v>
      </c>
      <c r="J17" s="36">
        <f t="shared" si="2"/>
        <v>6.3586571619120749E-2</v>
      </c>
      <c r="K17" s="36">
        <f t="shared" si="2"/>
        <v>6.3751078067525599E-2</v>
      </c>
      <c r="L17" s="36">
        <f t="shared" si="2"/>
        <v>6.57001858108376E-2</v>
      </c>
      <c r="M17" s="36">
        <f t="shared" si="2"/>
        <v>6.6425311744780835E-2</v>
      </c>
      <c r="N17" s="36">
        <f t="shared" si="2"/>
        <v>6.6713639332564884E-2</v>
      </c>
      <c r="O17" s="36">
        <f t="shared" si="2"/>
        <v>6.398939931331056E-2</v>
      </c>
      <c r="P17" s="36">
        <f t="shared" si="2"/>
        <v>6.6387148408039318E-2</v>
      </c>
      <c r="Q17" s="36">
        <f t="shared" si="2"/>
        <v>6.7562845311335801E-2</v>
      </c>
      <c r="R17" s="36">
        <f t="shared" si="2"/>
        <v>6.8597399035982221E-2</v>
      </c>
      <c r="S17" s="36">
        <f t="shared" si="2"/>
        <v>6.6809378459100968E-2</v>
      </c>
      <c r="T17" s="36">
        <f t="shared" si="2"/>
        <v>6.8456728006694084E-2</v>
      </c>
      <c r="U17" s="36">
        <f t="shared" si="2"/>
        <v>6.8908827073374618E-2</v>
      </c>
      <c r="V17" s="36">
        <f t="shared" si="2"/>
        <v>6.8938546888167154E-2</v>
      </c>
      <c r="W17" s="36">
        <f t="shared" si="2"/>
        <v>7.146130529421163E-2</v>
      </c>
      <c r="X17" s="36">
        <f t="shared" si="2"/>
        <v>7.2612343667130846E-2</v>
      </c>
      <c r="Y17" s="36">
        <f t="shared" si="2"/>
        <v>7.4439285850906881E-2</v>
      </c>
      <c r="Z17" s="36">
        <f t="shared" si="2"/>
        <v>7.5403318557500404E-2</v>
      </c>
      <c r="AA17" s="36">
        <f t="shared" si="2"/>
        <v>7.2928907788703728E-2</v>
      </c>
      <c r="AB17" s="36">
        <f t="shared" si="2"/>
        <v>7.6414705787774109E-2</v>
      </c>
      <c r="AC17" s="36">
        <f t="shared" si="2"/>
        <v>7.6718784737589002E-2</v>
      </c>
      <c r="AD17" s="36">
        <f t="shared" si="2"/>
        <v>7.965261244128477E-2</v>
      </c>
      <c r="AE17" s="36">
        <f t="shared" si="2"/>
        <v>7.9590461597262976E-2</v>
      </c>
      <c r="AF17" s="36">
        <f t="shared" si="2"/>
        <v>8.1787082287579235E-2</v>
      </c>
      <c r="AG17" s="36">
        <f t="shared" si="2"/>
        <v>8.4494401290482316E-2</v>
      </c>
      <c r="AH17" s="36">
        <f t="shared" si="2"/>
        <v>8.9309328446173425E-2</v>
      </c>
      <c r="AI17" s="36">
        <f t="shared" si="2"/>
        <v>8.9036499665015562E-2</v>
      </c>
      <c r="AJ17" s="36">
        <f t="shared" si="2"/>
        <v>9.1220193333440489E-2</v>
      </c>
      <c r="AK17" s="36">
        <f t="shared" si="2"/>
        <v>9.3657186897946915E-2</v>
      </c>
      <c r="AL17" s="36">
        <f t="shared" si="2"/>
        <v>9.6068350028148938E-2</v>
      </c>
      <c r="AM17" s="36">
        <f t="shared" si="2"/>
        <v>9.4912851271662921E-2</v>
      </c>
      <c r="AN17" s="36">
        <f t="shared" si="2"/>
        <v>9.8210824802402785E-2</v>
      </c>
      <c r="AO17" s="36">
        <f t="shared" si="2"/>
        <v>0.10048254130446813</v>
      </c>
      <c r="AP17" s="36">
        <f t="shared" si="2"/>
        <v>0.10202814348386099</v>
      </c>
      <c r="AQ17" s="36">
        <f t="shared" si="2"/>
        <v>0.10063304620275762</v>
      </c>
      <c r="AR17" s="36">
        <f t="shared" si="2"/>
        <v>0.10451261669711893</v>
      </c>
      <c r="AS17" s="36">
        <f>+AS$11/AS16</f>
        <v>0.10466641875903919</v>
      </c>
      <c r="AT17" s="36">
        <f t="shared" ref="AT17:BV17" si="3">+AT$11/AT16</f>
        <v>0.10967500563595126</v>
      </c>
      <c r="AU17" s="36">
        <f t="shared" si="3"/>
        <v>0.10830349527212184</v>
      </c>
      <c r="AV17" s="36">
        <f t="shared" si="3"/>
        <v>0.10852299118057446</v>
      </c>
      <c r="AW17" s="36">
        <f t="shared" si="3"/>
        <v>0.10923180700371043</v>
      </c>
      <c r="AX17" s="36">
        <f t="shared" si="3"/>
        <v>0.11044987295904399</v>
      </c>
      <c r="AY17" s="36">
        <f t="shared" si="3"/>
        <v>0.10544663966493829</v>
      </c>
      <c r="AZ17" s="36">
        <f t="shared" si="3"/>
        <v>0.10685935584634182</v>
      </c>
      <c r="BA17" s="36">
        <f t="shared" si="3"/>
        <v>0.10635903155001386</v>
      </c>
      <c r="BB17" s="36">
        <f t="shared" si="3"/>
        <v>0.10786266084843585</v>
      </c>
      <c r="BC17" s="36">
        <f t="shared" si="3"/>
        <v>0.10647471133028781</v>
      </c>
      <c r="BD17" s="36">
        <f t="shared" si="3"/>
        <v>0.11050760040907719</v>
      </c>
      <c r="BE17" s="36">
        <f t="shared" si="3"/>
        <v>0.11117900236727407</v>
      </c>
      <c r="BF17" s="36">
        <f t="shared" si="3"/>
        <v>0.11386723198298675</v>
      </c>
      <c r="BG17" s="36">
        <f t="shared" si="3"/>
        <v>0.11440602908845517</v>
      </c>
      <c r="BH17" s="36">
        <f t="shared" si="3"/>
        <v>0.11587217519797438</v>
      </c>
      <c r="BI17" s="36">
        <f t="shared" si="3"/>
        <v>0.11857699774793483</v>
      </c>
      <c r="BJ17" s="36">
        <f t="shared" si="3"/>
        <v>0.11981892544380236</v>
      </c>
      <c r="BK17" s="36">
        <f t="shared" si="3"/>
        <v>0.11437986273162525</v>
      </c>
      <c r="BL17" s="36">
        <f t="shared" si="3"/>
        <v>0.11908570383641282</v>
      </c>
      <c r="BM17" s="36">
        <f t="shared" si="3"/>
        <v>0.11902449103653223</v>
      </c>
      <c r="BN17" s="36">
        <f t="shared" si="3"/>
        <v>0.1202090083206708</v>
      </c>
      <c r="BO17" s="36">
        <f t="shared" si="3"/>
        <v>0.11710638631125581</v>
      </c>
      <c r="BP17" s="36">
        <f t="shared" si="3"/>
        <v>0.12078574908195681</v>
      </c>
      <c r="BQ17" s="36">
        <f t="shared" si="3"/>
        <v>0.1216765468252934</v>
      </c>
      <c r="BR17" s="36">
        <f t="shared" si="3"/>
        <v>0.1244819974912675</v>
      </c>
      <c r="BS17" s="36">
        <f t="shared" si="3"/>
        <v>0.12568480747717686</v>
      </c>
      <c r="BT17" s="36">
        <f t="shared" si="3"/>
        <v>0.12711816968070014</v>
      </c>
      <c r="BU17" s="36">
        <f t="shared" si="3"/>
        <v>0.12971122845511682</v>
      </c>
      <c r="BV17" s="36">
        <f t="shared" si="3"/>
        <v>0.13026724320844413</v>
      </c>
      <c r="BW17" s="36">
        <f>+BW$11/BW16</f>
        <v>0.12809404068243035</v>
      </c>
      <c r="BX17" s="36">
        <f t="shared" ref="BX17:CJ17" si="4">+BX$11/BX16</f>
        <v>0.13300803366065284</v>
      </c>
      <c r="BY17" s="36">
        <f t="shared" si="4"/>
        <v>0.13473314679450291</v>
      </c>
      <c r="BZ17" s="36">
        <f t="shared" si="4"/>
        <v>0.13662053933481749</v>
      </c>
      <c r="CA17" s="36">
        <f t="shared" si="4"/>
        <v>0.13402179650491797</v>
      </c>
      <c r="CB17" s="36">
        <f t="shared" si="4"/>
        <v>0.13606659032642462</v>
      </c>
      <c r="CC17" s="36">
        <f t="shared" si="4"/>
        <v>0.13813310372045107</v>
      </c>
      <c r="CD17" s="36">
        <f t="shared" si="4"/>
        <v>0.13947990673871255</v>
      </c>
      <c r="CE17" s="36">
        <f t="shared" si="4"/>
        <v>0.14050444800423634</v>
      </c>
      <c r="CF17" s="36">
        <f t="shared" si="4"/>
        <v>0.1457591173237211</v>
      </c>
      <c r="CG17" s="36">
        <f t="shared" si="4"/>
        <v>0.14564467028388881</v>
      </c>
      <c r="CH17" s="36">
        <f t="shared" si="4"/>
        <v>0.14674889402349306</v>
      </c>
      <c r="CI17" s="36">
        <f t="shared" si="4"/>
        <v>0.14392643059339902</v>
      </c>
      <c r="CJ17" s="36">
        <f t="shared" si="4"/>
        <v>0.14654521144794636</v>
      </c>
      <c r="CK17" s="88"/>
      <c r="CL17" s="88"/>
      <c r="CM17" s="88"/>
      <c r="CN17" s="88"/>
      <c r="CO17" s="88"/>
      <c r="CP17" s="88"/>
      <c r="CQ17" s="88"/>
      <c r="CR17" s="88"/>
      <c r="CS17" s="88"/>
      <c r="CT17" s="88"/>
      <c r="CU17" s="88"/>
      <c r="CV17" s="88"/>
      <c r="CW17" s="88"/>
      <c r="CX17" s="88"/>
      <c r="CY17" s="88"/>
      <c r="CZ17" s="88"/>
      <c r="DA17" s="88"/>
      <c r="DB17" s="97"/>
      <c r="DC17" s="97"/>
    </row>
    <row r="18" spans="1:107"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88"/>
      <c r="DA18" s="88"/>
      <c r="DB18" s="97"/>
      <c r="DC18" s="88"/>
    </row>
    <row r="19" spans="1:107"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18">
        <v>11858469</v>
      </c>
      <c r="CW19" s="18">
        <v>11850349</v>
      </c>
      <c r="CX19" s="18">
        <v>11915431</v>
      </c>
      <c r="CY19" s="18">
        <v>12022976</v>
      </c>
      <c r="CZ19" s="94">
        <v>9.0256911394979156E-3</v>
      </c>
      <c r="DA19" s="94">
        <v>6.0087684252767559E-3</v>
      </c>
      <c r="DB19" s="94">
        <v>7.9140574070182934E-2</v>
      </c>
      <c r="DC19" s="94">
        <v>2.0147877081897025E-2</v>
      </c>
    </row>
    <row r="20" spans="1:107" s="21" customFormat="1" ht="15" customHeight="1" x14ac:dyDescent="0.3">
      <c r="B20" s="112" t="s">
        <v>2</v>
      </c>
      <c r="C20" s="113"/>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39">
        <v>11515050</v>
      </c>
      <c r="CT20" s="39">
        <v>11565865</v>
      </c>
      <c r="CU20" s="39">
        <v>11716099</v>
      </c>
      <c r="CV20" s="39">
        <v>11729482</v>
      </c>
      <c r="CW20" s="39">
        <v>11721636</v>
      </c>
      <c r="CX20" s="39">
        <v>11786760</v>
      </c>
      <c r="CY20" s="39">
        <v>11893391</v>
      </c>
      <c r="CZ20" s="94">
        <v>9.0466761009810881E-3</v>
      </c>
      <c r="DA20" s="94">
        <v>5.9908851983019318E-3</v>
      </c>
      <c r="DB20" s="94">
        <v>7.8871994000678347E-2</v>
      </c>
      <c r="DC20" s="94">
        <v>1.9654475090612022E-2</v>
      </c>
    </row>
    <row r="21" spans="1:107" s="21" customFormat="1" ht="15" customHeight="1" x14ac:dyDescent="0.3">
      <c r="B21" s="112" t="s">
        <v>3</v>
      </c>
      <c r="C21" s="113"/>
      <c r="D21" s="39">
        <f t="shared" ref="D21:AX21" si="5">+D19-D20</f>
        <v>90841</v>
      </c>
      <c r="E21" s="39">
        <f t="shared" si="5"/>
        <v>91136</v>
      </c>
      <c r="F21" s="39">
        <f t="shared" si="5"/>
        <v>90467</v>
      </c>
      <c r="G21" s="39">
        <f t="shared" si="5"/>
        <v>90385</v>
      </c>
      <c r="H21" s="39">
        <f t="shared" si="5"/>
        <v>93544</v>
      </c>
      <c r="I21" s="39">
        <f t="shared" si="5"/>
        <v>94682</v>
      </c>
      <c r="J21" s="39">
        <f t="shared" si="5"/>
        <v>95295</v>
      </c>
      <c r="K21" s="39">
        <f t="shared" si="5"/>
        <v>96986</v>
      </c>
      <c r="L21" s="39">
        <f t="shared" si="5"/>
        <v>97276</v>
      </c>
      <c r="M21" s="39">
        <f t="shared" si="5"/>
        <v>98767</v>
      </c>
      <c r="N21" s="39">
        <f t="shared" si="5"/>
        <v>100377</v>
      </c>
      <c r="O21" s="39">
        <f t="shared" si="5"/>
        <v>105470</v>
      </c>
      <c r="P21" s="39">
        <f t="shared" si="5"/>
        <v>100353</v>
      </c>
      <c r="Q21" s="39">
        <f t="shared" si="5"/>
        <v>100003</v>
      </c>
      <c r="R21" s="39">
        <f t="shared" si="5"/>
        <v>101027</v>
      </c>
      <c r="S21" s="39">
        <f t="shared" si="5"/>
        <v>102765</v>
      </c>
      <c r="T21" s="39">
        <f t="shared" si="5"/>
        <v>103893</v>
      </c>
      <c r="U21" s="39">
        <f t="shared" si="5"/>
        <v>105047</v>
      </c>
      <c r="V21" s="39">
        <f t="shared" si="5"/>
        <v>105582</v>
      </c>
      <c r="W21" s="39">
        <f t="shared" si="5"/>
        <v>106678</v>
      </c>
      <c r="X21" s="39">
        <f t="shared" si="5"/>
        <v>106580</v>
      </c>
      <c r="Y21" s="39">
        <f t="shared" si="5"/>
        <v>107755</v>
      </c>
      <c r="Z21" s="39">
        <f t="shared" si="5"/>
        <v>109094</v>
      </c>
      <c r="AA21" s="39">
        <f t="shared" si="5"/>
        <v>112524</v>
      </c>
      <c r="AB21" s="39">
        <f t="shared" si="5"/>
        <v>110532</v>
      </c>
      <c r="AC21" s="39">
        <f t="shared" si="5"/>
        <v>110280</v>
      </c>
      <c r="AD21" s="39">
        <f t="shared" si="5"/>
        <v>109728</v>
      </c>
      <c r="AE21" s="39">
        <f t="shared" si="5"/>
        <v>108084</v>
      </c>
      <c r="AF21" s="39">
        <f t="shared" si="5"/>
        <v>108836</v>
      </c>
      <c r="AG21" s="39">
        <f t="shared" si="5"/>
        <v>107338</v>
      </c>
      <c r="AH21" s="39">
        <f t="shared" si="5"/>
        <v>102247</v>
      </c>
      <c r="AI21" s="39">
        <f t="shared" si="5"/>
        <v>104498</v>
      </c>
      <c r="AJ21" s="39">
        <f t="shared" si="5"/>
        <v>103117</v>
      </c>
      <c r="AK21" s="39">
        <f t="shared" si="5"/>
        <v>101143</v>
      </c>
      <c r="AL21" s="39">
        <f t="shared" si="5"/>
        <v>101120</v>
      </c>
      <c r="AM21" s="39">
        <f t="shared" si="5"/>
        <v>101120</v>
      </c>
      <c r="AN21" s="39">
        <f t="shared" si="5"/>
        <v>101516</v>
      </c>
      <c r="AO21" s="39">
        <f t="shared" si="5"/>
        <v>101028</v>
      </c>
      <c r="AP21" s="39">
        <f t="shared" si="5"/>
        <v>100452</v>
      </c>
      <c r="AQ21" s="39">
        <f t="shared" si="5"/>
        <v>100653</v>
      </c>
      <c r="AR21" s="39">
        <f t="shared" si="5"/>
        <v>96058.226999999955</v>
      </c>
      <c r="AS21" s="39">
        <f t="shared" si="5"/>
        <v>101590</v>
      </c>
      <c r="AT21" s="39">
        <f t="shared" si="5"/>
        <v>98132</v>
      </c>
      <c r="AU21" s="39">
        <f t="shared" si="5"/>
        <v>98883</v>
      </c>
      <c r="AV21" s="39">
        <f t="shared" si="5"/>
        <v>100230</v>
      </c>
      <c r="AW21" s="39">
        <f t="shared" si="5"/>
        <v>101315</v>
      </c>
      <c r="AX21" s="39">
        <f t="shared" si="5"/>
        <v>102189</v>
      </c>
      <c r="AY21" s="39">
        <f>+AY19-AY20</f>
        <v>105850</v>
      </c>
      <c r="AZ21" s="39">
        <f t="shared" ref="AZ21:BY21" si="6">+AZ19-AZ20</f>
        <v>100361</v>
      </c>
      <c r="BA21" s="39">
        <f t="shared" si="6"/>
        <v>105062</v>
      </c>
      <c r="BB21" s="39">
        <f t="shared" si="6"/>
        <v>105917</v>
      </c>
      <c r="BC21" s="39">
        <f t="shared" si="6"/>
        <v>106030</v>
      </c>
      <c r="BD21" s="39">
        <f t="shared" si="6"/>
        <v>105756</v>
      </c>
      <c r="BE21" s="39">
        <f t="shared" si="6"/>
        <v>105847</v>
      </c>
      <c r="BF21" s="39">
        <f t="shared" si="6"/>
        <v>105329</v>
      </c>
      <c r="BG21" s="39">
        <f t="shared" si="6"/>
        <v>105853</v>
      </c>
      <c r="BH21" s="39">
        <f t="shared" si="6"/>
        <v>105529</v>
      </c>
      <c r="BI21" s="39">
        <f t="shared" si="6"/>
        <v>105437</v>
      </c>
      <c r="BJ21" s="39">
        <f t="shared" si="6"/>
        <v>107184</v>
      </c>
      <c r="BK21" s="39">
        <f t="shared" si="6"/>
        <v>109994</v>
      </c>
      <c r="BL21" s="39">
        <f t="shared" si="6"/>
        <v>109521</v>
      </c>
      <c r="BM21" s="39">
        <f t="shared" si="6"/>
        <v>109320</v>
      </c>
      <c r="BN21" s="39">
        <f t="shared" si="6"/>
        <v>109592</v>
      </c>
      <c r="BO21" s="39">
        <f t="shared" si="6"/>
        <v>111895</v>
      </c>
      <c r="BP21" s="39">
        <f t="shared" si="6"/>
        <v>112470</v>
      </c>
      <c r="BQ21" s="39">
        <f t="shared" si="6"/>
        <v>112231</v>
      </c>
      <c r="BR21" s="39">
        <f t="shared" si="6"/>
        <v>111850</v>
      </c>
      <c r="BS21" s="39">
        <f t="shared" si="6"/>
        <v>111646</v>
      </c>
      <c r="BT21" s="39">
        <f t="shared" si="6"/>
        <v>111480</v>
      </c>
      <c r="BU21" s="39">
        <f t="shared" si="6"/>
        <v>110819</v>
      </c>
      <c r="BV21" s="39">
        <f t="shared" si="6"/>
        <v>111839</v>
      </c>
      <c r="BW21" s="39">
        <f t="shared" si="6"/>
        <v>114197</v>
      </c>
      <c r="BX21" s="39">
        <f t="shared" si="6"/>
        <v>113843</v>
      </c>
      <c r="BY21" s="39">
        <f t="shared" si="6"/>
        <v>113918</v>
      </c>
      <c r="BZ21" s="98">
        <f>+BZ19-BZ20</f>
        <v>113444</v>
      </c>
      <c r="CA21" s="98">
        <f>+CA19-CA20</f>
        <v>114952</v>
      </c>
      <c r="CB21" s="98">
        <f>+CB19-CB20</f>
        <v>115607</v>
      </c>
      <c r="CC21" s="98">
        <f>+CC19-CC20</f>
        <v>115784</v>
      </c>
      <c r="CD21" s="98">
        <f t="shared" ref="CD21:CE21" si="7">+CD19-CD20</f>
        <v>115996</v>
      </c>
      <c r="CE21" s="98">
        <f t="shared" si="7"/>
        <v>115391</v>
      </c>
      <c r="CF21" s="98">
        <f>+CF19-CF20</f>
        <v>115283</v>
      </c>
      <c r="CG21" s="98">
        <f>+CG19-CG20</f>
        <v>114709</v>
      </c>
      <c r="CH21" s="98">
        <f>+CH19-CH20</f>
        <v>115622</v>
      </c>
      <c r="CI21" s="98">
        <f>+CI19-CI20</f>
        <v>118701</v>
      </c>
      <c r="CJ21" s="98">
        <f t="shared" ref="CJ21:CT21" si="8">+CJ19-CJ20</f>
        <v>118298</v>
      </c>
      <c r="CK21" s="98">
        <f t="shared" si="8"/>
        <v>118579</v>
      </c>
      <c r="CL21" s="98">
        <f t="shared" si="8"/>
        <v>117333</v>
      </c>
      <c r="CM21" s="98">
        <f t="shared" si="8"/>
        <v>117338</v>
      </c>
      <c r="CN21" s="98">
        <f t="shared" si="8"/>
        <v>118304</v>
      </c>
      <c r="CO21" s="98">
        <f t="shared" si="8"/>
        <v>119586</v>
      </c>
      <c r="CP21" s="98">
        <f t="shared" si="8"/>
        <v>120378</v>
      </c>
      <c r="CQ21" s="98">
        <f t="shared" si="8"/>
        <v>120987</v>
      </c>
      <c r="CR21" s="98">
        <f t="shared" si="8"/>
        <v>122785</v>
      </c>
      <c r="CS21" s="98">
        <f t="shared" si="8"/>
        <v>125250</v>
      </c>
      <c r="CT21" s="98">
        <f t="shared" si="8"/>
        <v>126008</v>
      </c>
      <c r="CU21" s="98">
        <v>130847</v>
      </c>
      <c r="CV21" s="98">
        <v>128987</v>
      </c>
      <c r="CW21" s="98">
        <v>128713</v>
      </c>
      <c r="CX21" s="98">
        <v>128671</v>
      </c>
      <c r="CY21" s="98">
        <v>129585</v>
      </c>
      <c r="CZ21" s="94">
        <v>7.1033877097403941E-3</v>
      </c>
      <c r="DA21" s="94">
        <v>7.6693360398443211E-3</v>
      </c>
      <c r="DB21" s="94">
        <v>0.1043736896827967</v>
      </c>
      <c r="DC21" s="94">
        <v>6.7962332875180387E-2</v>
      </c>
    </row>
    <row r="22" spans="1:107"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c r="CH22"/>
      <c r="CI22"/>
      <c r="CJ22"/>
      <c r="CK22"/>
      <c r="CL22"/>
      <c r="CM22"/>
      <c r="CN22"/>
      <c r="CO22"/>
      <c r="CP22"/>
      <c r="CQ22"/>
      <c r="CR22"/>
      <c r="CS22"/>
      <c r="CT22"/>
      <c r="CU22"/>
      <c r="CV22"/>
      <c r="CW22"/>
      <c r="CX22"/>
      <c r="CY22"/>
      <c r="CZ22" s="99"/>
      <c r="DA22" s="100"/>
    </row>
    <row r="23" spans="1:107" s="1" customFormat="1" ht="15" customHeight="1" x14ac:dyDescent="0.3">
      <c r="A23" s="11"/>
      <c r="B23" s="4" t="s">
        <v>7</v>
      </c>
      <c r="C23" s="101"/>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c r="CK23"/>
      <c r="CL23"/>
      <c r="CM23"/>
      <c r="CN23"/>
      <c r="CO23"/>
      <c r="CP23"/>
      <c r="CQ23"/>
      <c r="CR23"/>
      <c r="CS23"/>
      <c r="CT23"/>
      <c r="CU23"/>
      <c r="CV23"/>
      <c r="CW23"/>
      <c r="CX23"/>
      <c r="CY23"/>
      <c r="CZ23" s="102"/>
      <c r="DA23" s="102"/>
    </row>
    <row r="24" spans="1:107" s="1" customFormat="1" ht="12.75" customHeight="1" x14ac:dyDescent="0.3">
      <c r="A24" s="11"/>
      <c r="B24" s="7" t="s">
        <v>80</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s="7"/>
      <c r="DA24" s="7"/>
    </row>
    <row r="25" spans="1:107" s="1" customFormat="1" ht="12.75" customHeight="1" x14ac:dyDescent="0.3">
      <c r="A25" s="11"/>
      <c r="B25" s="7" t="s">
        <v>81</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s="7"/>
      <c r="DA25" s="7"/>
    </row>
    <row r="26" spans="1:107" s="1" customFormat="1" ht="15" customHeight="1" x14ac:dyDescent="0.3">
      <c r="A26" s="11"/>
      <c r="B26" s="8" t="s">
        <v>82</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s="8"/>
      <c r="DA26" s="8"/>
    </row>
    <row r="27" spans="1:107" s="1" customFormat="1" ht="15" customHeight="1" x14ac:dyDescent="0.3">
      <c r="B27" s="8" t="s">
        <v>83</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s="8"/>
      <c r="DA27" s="8"/>
    </row>
    <row r="28" spans="1:107" s="1" customFormat="1" ht="15" customHeight="1" x14ac:dyDescent="0.3">
      <c r="B28" s="8" t="s">
        <v>84</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s="8"/>
      <c r="DA28" s="8"/>
    </row>
    <row r="29" spans="1:107" s="1" customFormat="1" ht="15" customHeight="1" x14ac:dyDescent="0.3">
      <c r="B29" s="8" t="s">
        <v>85</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s="8"/>
      <c r="DA29" s="8"/>
    </row>
    <row r="30" spans="1:107" s="1" customFormat="1" ht="15" customHeight="1" x14ac:dyDescent="0.3">
      <c r="B30" s="103" t="s">
        <v>86</v>
      </c>
      <c r="C30" s="101"/>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c r="CK30"/>
      <c r="CL30"/>
      <c r="CM30"/>
      <c r="CN30"/>
      <c r="CO30"/>
      <c r="CP30"/>
      <c r="CQ30"/>
      <c r="CR30"/>
      <c r="CS30"/>
      <c r="CT30"/>
      <c r="CU30"/>
      <c r="CV30"/>
      <c r="CW30"/>
      <c r="CX30"/>
      <c r="CY30"/>
      <c r="CZ30" s="102"/>
      <c r="DA30" s="102"/>
    </row>
    <row r="31" spans="1:107" s="1" customFormat="1" ht="15" customHeight="1" x14ac:dyDescent="0.3">
      <c r="B31" s="103" t="s">
        <v>87</v>
      </c>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c r="CK31"/>
      <c r="CL31"/>
      <c r="CM31"/>
      <c r="CN31"/>
      <c r="CO31"/>
      <c r="CP31"/>
      <c r="CQ31"/>
      <c r="CR31"/>
      <c r="CS31"/>
      <c r="CT31"/>
      <c r="CU31"/>
      <c r="CV31"/>
      <c r="CW31"/>
      <c r="CX31"/>
      <c r="CY31"/>
      <c r="CZ31" s="102"/>
      <c r="DA31" s="102"/>
    </row>
    <row r="32" spans="1:107" s="1" customFormat="1" ht="15" customHeight="1" x14ac:dyDescent="0.3">
      <c r="B32" s="103" t="s">
        <v>88</v>
      </c>
      <c r="C32" s="101"/>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c r="CK32"/>
      <c r="CL32"/>
      <c r="CM32"/>
      <c r="CN32"/>
      <c r="CO32"/>
      <c r="CP32"/>
      <c r="CQ32"/>
      <c r="CR32"/>
      <c r="CS32"/>
      <c r="CT32"/>
      <c r="CU32"/>
      <c r="CV32"/>
      <c r="CW32"/>
      <c r="CX32"/>
      <c r="CY32"/>
      <c r="CZ32" s="102"/>
      <c r="DA32" s="102"/>
    </row>
    <row r="33" spans="2:107" s="1" customFormat="1" ht="15" customHeight="1" x14ac:dyDescent="0.3">
      <c r="B33" s="103" t="s">
        <v>89</v>
      </c>
      <c r="C33" s="101"/>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c r="CK33"/>
      <c r="CL33"/>
      <c r="CM33"/>
      <c r="CN33"/>
      <c r="CO33"/>
      <c r="CP33"/>
      <c r="CQ33"/>
      <c r="CR33"/>
      <c r="CS33"/>
      <c r="CT33"/>
      <c r="CU33"/>
      <c r="CV33"/>
      <c r="CW33"/>
      <c r="CX33"/>
      <c r="CY33"/>
      <c r="CZ33" s="102"/>
      <c r="DA33" s="102"/>
    </row>
    <row r="34" spans="2:107" s="1" customFormat="1" ht="15" customHeight="1" x14ac:dyDescent="0.3">
      <c r="B34" s="5" t="s">
        <v>90</v>
      </c>
      <c r="C34" s="101"/>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c r="CK34"/>
      <c r="CL34"/>
      <c r="CM34"/>
      <c r="CN34"/>
      <c r="CO34"/>
      <c r="CP34"/>
      <c r="CQ34"/>
      <c r="CR34"/>
      <c r="CS34"/>
      <c r="CT34"/>
      <c r="CU34"/>
      <c r="CV34"/>
      <c r="CW34"/>
      <c r="CX34"/>
      <c r="CY34"/>
      <c r="CZ34" s="102"/>
      <c r="DA34" s="102"/>
    </row>
    <row r="35" spans="2:107" s="1" customFormat="1" ht="15" customHeight="1" x14ac:dyDescent="0.3">
      <c r="B35" s="103"/>
      <c r="C35" s="101"/>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c r="CK35"/>
      <c r="CL35"/>
      <c r="CM35"/>
      <c r="CN35"/>
      <c r="CO35"/>
      <c r="CP35"/>
      <c r="CQ35"/>
      <c r="CR35"/>
      <c r="CS35"/>
      <c r="CT35"/>
      <c r="CU35"/>
      <c r="CV35"/>
      <c r="CW35"/>
      <c r="CX35"/>
      <c r="CY35"/>
      <c r="CZ35" s="102"/>
      <c r="DA35" s="102"/>
    </row>
    <row r="36" spans="2:107" s="56" customFormat="1" ht="15" customHeight="1" x14ac:dyDescent="0.3">
      <c r="C36" s="2"/>
      <c r="D36" s="104"/>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c r="CT36"/>
      <c r="CU36"/>
      <c r="CV36"/>
      <c r="CW36"/>
      <c r="CX36"/>
      <c r="CY36"/>
      <c r="CZ36" s="3"/>
      <c r="DA36" s="3"/>
    </row>
    <row r="37" spans="2:107" s="46" customFormat="1" x14ac:dyDescent="0.3">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row>
    <row r="38" spans="2:107" s="46" customFormat="1" x14ac:dyDescent="0.3">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row>
    <row r="39" spans="2:107" s="46" customFormat="1" x14ac:dyDescent="0.3">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row>
    <row r="40" spans="2:107" s="46" customFormat="1" x14ac:dyDescent="0.3">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row>
    <row r="41" spans="2:107" s="46" customFormat="1" x14ac:dyDescent="0.3">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row>
    <row r="42" spans="2:107" s="46" customFormat="1" x14ac:dyDescent="0.3">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row>
    <row r="43" spans="2:107" s="46" customFormat="1" x14ac:dyDescent="0.3">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row>
    <row r="44" spans="2:107" s="46" customFormat="1" x14ac:dyDescent="0.3">
      <c r="D44" s="105"/>
    </row>
    <row r="45" spans="2:107" s="46" customFormat="1" x14ac:dyDescent="0.3">
      <c r="D45" s="105"/>
    </row>
    <row r="46" spans="2:107" s="46" customFormat="1" x14ac:dyDescent="0.3">
      <c r="D46" s="105"/>
    </row>
    <row r="47" spans="2:107" s="46" customFormat="1" x14ac:dyDescent="0.3">
      <c r="D47" s="105"/>
    </row>
    <row r="48" spans="2:107" s="46" customFormat="1" x14ac:dyDescent="0.3">
      <c r="D48" s="105"/>
    </row>
    <row r="49" spans="4:4" s="107" customFormat="1" x14ac:dyDescent="0.3">
      <c r="D49" s="106"/>
    </row>
    <row r="50" spans="4:4" s="107" customFormat="1" x14ac:dyDescent="0.3"/>
  </sheetData>
  <mergeCells count="20">
    <mergeCell ref="B20:C20"/>
    <mergeCell ref="B21:C21"/>
    <mergeCell ref="CJ9:CU9"/>
    <mergeCell ref="CV9:CX9"/>
    <mergeCell ref="CZ9:CZ10"/>
    <mergeCell ref="DA9:DA10"/>
    <mergeCell ref="DB9:DB10"/>
    <mergeCell ref="DC9:DC10"/>
    <mergeCell ref="P9:AA9"/>
    <mergeCell ref="AB9:AM9"/>
    <mergeCell ref="AN9:AY9"/>
    <mergeCell ref="AZ9:BK9"/>
    <mergeCell ref="BL9:BW9"/>
    <mergeCell ref="BX9:CI9"/>
    <mergeCell ref="D3:K3"/>
    <mergeCell ref="D4:K4"/>
    <mergeCell ref="D5:K5"/>
    <mergeCell ref="D6:K6"/>
    <mergeCell ref="D7:E7"/>
    <mergeCell ref="D9:O9"/>
  </mergeCells>
  <conditionalFormatting sqref="DA17">
    <cfRule type="iconSet" priority="4">
      <iconSet iconSet="3Arrows">
        <cfvo type="percent" val="0"/>
        <cfvo type="num" val="0"/>
        <cfvo type="num" val="0" gte="0"/>
      </iconSet>
    </cfRule>
  </conditionalFormatting>
  <conditionalFormatting sqref="CZ17:CZ18">
    <cfRule type="iconSet" priority="1">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5BAE7888-4D9E-4ECB-B998-257704FA8E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DA11:DC11 DA13:DC16 DA19:DC21</xm:sqref>
        </x14:conditionalFormatting>
        <x14:conditionalFormatting xmlns:xm="http://schemas.microsoft.com/office/excel/2006/main">
          <x14:cfRule type="iconSet" priority="2" id="{67C0EE7D-2B73-4F30-804C-6B42B0CC411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CZ11 CZ13:CZ16 CZ19:CZ21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49"/>
  <sheetViews>
    <sheetView showGridLines="0" tabSelected="1" zoomScale="80" zoomScaleNormal="80" workbookViewId="0">
      <pane xSplit="3" ySplit="10" topLeftCell="CQ11" activePane="bottomRight" state="frozen"/>
      <selection pane="topRight" activeCell="D1" sqref="D1"/>
      <selection pane="bottomLeft" activeCell="A11" sqref="A11"/>
      <selection pane="bottomRight" activeCell="CY10" sqref="CY10"/>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03" width="15.109375" customWidth="1"/>
    <col min="104" max="104" width="14" customWidth="1"/>
    <col min="105" max="105" width="16.5546875" customWidth="1"/>
    <col min="106" max="106" width="15.33203125" customWidth="1"/>
    <col min="107" max="107" width="18.88671875" bestFit="1" customWidth="1"/>
  </cols>
  <sheetData>
    <row r="1" spans="2:108" ht="4.5" customHeight="1" x14ac:dyDescent="0.3"/>
    <row r="2" spans="2:108" x14ac:dyDescent="0.3">
      <c r="AH2" s="60"/>
    </row>
    <row r="3" spans="2:108" ht="18" x14ac:dyDescent="0.3">
      <c r="B3" s="40"/>
      <c r="C3" s="40"/>
      <c r="D3" s="128" t="s">
        <v>27</v>
      </c>
      <c r="E3" s="128"/>
      <c r="F3" s="128"/>
      <c r="G3" s="128"/>
      <c r="H3" s="128"/>
      <c r="I3" s="128"/>
      <c r="J3" s="128"/>
      <c r="K3" s="128"/>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9"/>
    </row>
    <row r="4" spans="2:108" ht="15.6" x14ac:dyDescent="0.3">
      <c r="B4" s="41"/>
      <c r="C4" s="41"/>
      <c r="D4" s="129" t="s">
        <v>28</v>
      </c>
      <c r="E4" s="129"/>
      <c r="F4" s="129"/>
      <c r="G4" s="129"/>
      <c r="H4" s="129"/>
      <c r="I4" s="129"/>
      <c r="J4" s="129"/>
      <c r="K4" s="129"/>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73"/>
    </row>
    <row r="5" spans="2:108" x14ac:dyDescent="0.3">
      <c r="B5" s="42"/>
      <c r="C5" s="42"/>
      <c r="D5" s="129" t="s">
        <v>95</v>
      </c>
      <c r="E5" s="129"/>
      <c r="F5" s="129"/>
      <c r="G5" s="129"/>
      <c r="H5" s="129"/>
      <c r="I5" s="129"/>
      <c r="J5" s="129"/>
      <c r="K5" s="129"/>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10"/>
    </row>
    <row r="6" spans="2:108" x14ac:dyDescent="0.3">
      <c r="D6" s="130" t="s">
        <v>32</v>
      </c>
      <c r="E6" s="130"/>
      <c r="F6" s="130"/>
      <c r="G6" s="130"/>
      <c r="H6" s="130"/>
      <c r="I6" s="130"/>
      <c r="J6" s="130"/>
      <c r="K6" s="130"/>
      <c r="AY6" s="64"/>
      <c r="AZ6" s="64"/>
      <c r="BA6" s="64"/>
      <c r="BB6" s="64"/>
      <c r="BC6" s="64"/>
      <c r="BD6" s="64"/>
      <c r="BE6" s="64"/>
      <c r="BF6" s="64"/>
      <c r="BG6" s="64"/>
      <c r="BH6" s="64"/>
      <c r="BI6" s="64"/>
      <c r="BJ6" s="64"/>
      <c r="BK6" s="64"/>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row>
    <row r="7" spans="2:108" x14ac:dyDescent="0.3">
      <c r="D7" s="131" t="s">
        <v>31</v>
      </c>
      <c r="E7" s="131"/>
      <c r="F7" s="74"/>
      <c r="G7" s="74"/>
      <c r="H7" s="74"/>
      <c r="I7" s="74"/>
      <c r="J7" s="74"/>
      <c r="K7" s="74"/>
      <c r="AX7" s="62"/>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row>
    <row r="8" spans="2:108" x14ac:dyDescent="0.3">
      <c r="DC8" s="6"/>
    </row>
    <row r="9" spans="2:108" ht="29.25" customHeight="1" x14ac:dyDescent="0.3">
      <c r="D9" s="122" t="s">
        <v>12</v>
      </c>
      <c r="E9" s="123"/>
      <c r="F9" s="123"/>
      <c r="G9" s="123"/>
      <c r="H9" s="123"/>
      <c r="I9" s="123"/>
      <c r="J9" s="123"/>
      <c r="K9" s="123"/>
      <c r="L9" s="123"/>
      <c r="M9" s="123"/>
      <c r="N9" s="123"/>
      <c r="O9" s="124"/>
      <c r="P9" s="122" t="s">
        <v>22</v>
      </c>
      <c r="Q9" s="123"/>
      <c r="R9" s="123"/>
      <c r="S9" s="123"/>
      <c r="T9" s="123"/>
      <c r="U9" s="123"/>
      <c r="V9" s="123"/>
      <c r="W9" s="123"/>
      <c r="X9" s="123"/>
      <c r="Y9" s="123"/>
      <c r="Z9" s="123"/>
      <c r="AA9" s="124"/>
      <c r="AB9" s="125" t="s">
        <v>23</v>
      </c>
      <c r="AC9" s="126"/>
      <c r="AD9" s="126"/>
      <c r="AE9" s="126"/>
      <c r="AF9" s="126"/>
      <c r="AG9" s="126"/>
      <c r="AH9" s="126"/>
      <c r="AI9" s="126"/>
      <c r="AJ9" s="126"/>
      <c r="AK9" s="126"/>
      <c r="AL9" s="126"/>
      <c r="AM9" s="127"/>
      <c r="AN9" s="114" t="s">
        <v>24</v>
      </c>
      <c r="AO9" s="115"/>
      <c r="AP9" s="115"/>
      <c r="AQ9" s="115"/>
      <c r="AR9" s="115"/>
      <c r="AS9" s="115"/>
      <c r="AT9" s="115"/>
      <c r="AU9" s="115"/>
      <c r="AV9" s="115"/>
      <c r="AW9" s="115"/>
      <c r="AX9" s="115"/>
      <c r="AY9" s="116"/>
      <c r="AZ9" s="114" t="s">
        <v>49</v>
      </c>
      <c r="BA9" s="115"/>
      <c r="BB9" s="115"/>
      <c r="BC9" s="115"/>
      <c r="BD9" s="115"/>
      <c r="BE9" s="115"/>
      <c r="BF9" s="115"/>
      <c r="BG9" s="115"/>
      <c r="BH9" s="115"/>
      <c r="BI9" s="115"/>
      <c r="BJ9" s="115"/>
      <c r="BK9" s="116"/>
      <c r="BL9" s="114" t="s">
        <v>58</v>
      </c>
      <c r="BM9" s="115"/>
      <c r="BN9" s="115"/>
      <c r="BO9" s="115"/>
      <c r="BP9" s="115"/>
      <c r="BQ9" s="115"/>
      <c r="BR9" s="115"/>
      <c r="BS9" s="115"/>
      <c r="BT9" s="115"/>
      <c r="BU9" s="115"/>
      <c r="BV9" s="115"/>
      <c r="BW9" s="116"/>
      <c r="BX9" s="114" t="s">
        <v>60</v>
      </c>
      <c r="BY9" s="115"/>
      <c r="BZ9" s="115"/>
      <c r="CA9" s="115"/>
      <c r="CB9" s="115"/>
      <c r="CC9" s="115"/>
      <c r="CD9" s="115"/>
      <c r="CE9" s="115"/>
      <c r="CF9" s="115"/>
      <c r="CG9" s="115"/>
      <c r="CH9" s="115"/>
      <c r="CI9" s="119"/>
      <c r="CJ9" s="117" t="s">
        <v>66</v>
      </c>
      <c r="CK9" s="118"/>
      <c r="CL9" s="118"/>
      <c r="CM9" s="118"/>
      <c r="CN9" s="118"/>
      <c r="CO9" s="118"/>
      <c r="CP9" s="118"/>
      <c r="CQ9" s="118"/>
      <c r="CR9" s="118"/>
      <c r="CS9" s="118"/>
      <c r="CT9" s="118"/>
      <c r="CU9" s="119"/>
      <c r="CV9" s="114" t="s">
        <v>69</v>
      </c>
      <c r="CW9" s="115"/>
      <c r="CX9" s="115"/>
      <c r="CY9" s="116"/>
      <c r="CZ9" s="120" t="s">
        <v>59</v>
      </c>
      <c r="DA9" s="120" t="s">
        <v>33</v>
      </c>
      <c r="DB9" s="120" t="s">
        <v>25</v>
      </c>
      <c r="DC9" s="120" t="s">
        <v>34</v>
      </c>
    </row>
    <row r="10" spans="2:108"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8" t="s">
        <v>13</v>
      </c>
      <c r="BY10" s="78" t="s">
        <v>61</v>
      </c>
      <c r="BZ10" s="78" t="s">
        <v>64</v>
      </c>
      <c r="CA10" s="78" t="s">
        <v>40</v>
      </c>
      <c r="CB10" s="78" t="s">
        <v>51</v>
      </c>
      <c r="CC10" s="78" t="s">
        <v>20</v>
      </c>
      <c r="CD10" s="78" t="s">
        <v>4</v>
      </c>
      <c r="CE10" s="78" t="s">
        <v>21</v>
      </c>
      <c r="CF10" s="78" t="s">
        <v>8</v>
      </c>
      <c r="CG10" s="78" t="s">
        <v>65</v>
      </c>
      <c r="CH10" s="78" t="s">
        <v>10</v>
      </c>
      <c r="CI10" s="13" t="s">
        <v>67</v>
      </c>
      <c r="CJ10" s="13" t="s">
        <v>19</v>
      </c>
      <c r="CK10" s="13" t="s">
        <v>61</v>
      </c>
      <c r="CL10" s="13" t="s">
        <v>64</v>
      </c>
      <c r="CM10" s="13" t="s">
        <v>16</v>
      </c>
      <c r="CN10" s="13" t="s">
        <v>17</v>
      </c>
      <c r="CO10" s="13" t="s">
        <v>20</v>
      </c>
      <c r="CP10" s="13" t="s">
        <v>4</v>
      </c>
      <c r="CQ10" s="13" t="s">
        <v>18</v>
      </c>
      <c r="CR10" s="13" t="s">
        <v>68</v>
      </c>
      <c r="CS10" s="13" t="s">
        <v>9</v>
      </c>
      <c r="CT10" s="13" t="s">
        <v>42</v>
      </c>
      <c r="CU10" s="13" t="s">
        <v>11</v>
      </c>
      <c r="CV10" s="13" t="s">
        <v>19</v>
      </c>
      <c r="CW10" s="13" t="s">
        <v>0</v>
      </c>
      <c r="CX10" s="13" t="s">
        <v>15</v>
      </c>
      <c r="CY10" s="13" t="s">
        <v>91</v>
      </c>
      <c r="CZ10" s="121"/>
      <c r="DA10" s="121"/>
      <c r="DB10" s="121"/>
      <c r="DC10" s="121"/>
    </row>
    <row r="11" spans="2:108" s="15" customFormat="1" x14ac:dyDescent="0.3">
      <c r="B11" s="16" t="s">
        <v>55</v>
      </c>
      <c r="C11" s="17"/>
      <c r="D11" s="18">
        <v>58184.451869952158</v>
      </c>
      <c r="E11" s="18">
        <v>60031.156642752467</v>
      </c>
      <c r="F11" s="18">
        <v>61659.068922741732</v>
      </c>
      <c r="G11" s="53">
        <v>63302.58646493253</v>
      </c>
      <c r="H11" s="53">
        <v>64984.65501304534</v>
      </c>
      <c r="I11" s="53">
        <v>66594.947313045297</v>
      </c>
      <c r="J11" s="53">
        <v>68227.121203045303</v>
      </c>
      <c r="K11" s="53">
        <v>69878.571503045299</v>
      </c>
      <c r="L11" s="53">
        <v>71559.8857230453</v>
      </c>
      <c r="M11" s="53">
        <v>73496.895000000004</v>
      </c>
      <c r="N11" s="53">
        <v>75270.690563045297</v>
      </c>
      <c r="O11" s="53">
        <v>77059.613273045296</v>
      </c>
      <c r="P11" s="53">
        <v>79517.903083045327</v>
      </c>
      <c r="Q11" s="53">
        <v>82146.581643045341</v>
      </c>
      <c r="R11" s="53">
        <v>84738.281443045329</v>
      </c>
      <c r="S11" s="53">
        <v>75694.617239999992</v>
      </c>
      <c r="T11" s="53">
        <v>79723.219169999997</v>
      </c>
      <c r="U11" s="53">
        <v>79805.903569999995</v>
      </c>
      <c r="V11" s="53">
        <v>95602.29333</v>
      </c>
      <c r="W11" s="53">
        <v>95714.932620000007</v>
      </c>
      <c r="X11" s="53">
        <v>98472.872400000007</v>
      </c>
      <c r="Y11" s="53">
        <v>103986.91131</v>
      </c>
      <c r="Z11" s="53">
        <v>104010.87256999999</v>
      </c>
      <c r="AA11" s="53">
        <v>106931.24959000001</v>
      </c>
      <c r="AB11" s="53">
        <v>112456.00290000001</v>
      </c>
      <c r="AC11" s="53">
        <v>115576.09595999999</v>
      </c>
      <c r="AD11" s="53">
        <v>118624.55781</v>
      </c>
      <c r="AE11" s="53">
        <v>121572.40184999999</v>
      </c>
      <c r="AF11" s="53">
        <v>124653.78395</v>
      </c>
      <c r="AG11" s="53">
        <v>127626.36520999999</v>
      </c>
      <c r="AH11" s="53">
        <v>130734.94763</v>
      </c>
      <c r="AI11" s="53">
        <v>134051.74841</v>
      </c>
      <c r="AJ11" s="53">
        <v>137047.88303</v>
      </c>
      <c r="AK11" s="53">
        <v>140163.92546999999</v>
      </c>
      <c r="AL11" s="53">
        <v>143273.21662999998</v>
      </c>
      <c r="AM11" s="53">
        <v>146370.68049</v>
      </c>
      <c r="AN11" s="53">
        <v>149411.21291</v>
      </c>
      <c r="AO11" s="53">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f>320538901.93/1000</f>
        <v>320538.90192999999</v>
      </c>
      <c r="BS11" s="18">
        <v>325697.42609000002</v>
      </c>
      <c r="BT11" s="18">
        <v>330971.83892000001</v>
      </c>
      <c r="BU11" s="18">
        <v>336207</v>
      </c>
      <c r="BV11" s="18">
        <v>336559.25494999997</v>
      </c>
      <c r="BW11" s="18">
        <v>337100.87566000002</v>
      </c>
      <c r="BX11" s="18">
        <v>337557.63225999998</v>
      </c>
      <c r="BY11" s="72">
        <f>342935640.21/1000</f>
        <v>342935.64020999998</v>
      </c>
      <c r="BZ11" s="72">
        <v>353850</v>
      </c>
      <c r="CA11" s="72">
        <v>353992</v>
      </c>
      <c r="CB11" s="72">
        <f>359643578/1000</f>
        <v>359643.57799999998</v>
      </c>
      <c r="CC11" s="72">
        <v>365322.63381000003</v>
      </c>
      <c r="CD11" s="72">
        <f>371335582/1000</f>
        <v>371335.58199999999</v>
      </c>
      <c r="CE11" s="72">
        <v>377333.32714000001</v>
      </c>
      <c r="CF11" s="72">
        <v>383175</v>
      </c>
      <c r="CG11" s="72">
        <f>389235592.13/1000</f>
        <v>389235.59213</v>
      </c>
      <c r="CH11" s="72">
        <f>395609056.76/1000</f>
        <v>395609.05676000001</v>
      </c>
      <c r="CI11" s="72">
        <f>411765852.43/1000</f>
        <v>411765.85243000003</v>
      </c>
      <c r="CJ11" s="72">
        <f>411946161.23/1000</f>
        <v>411946.16123000003</v>
      </c>
      <c r="CK11" s="72">
        <f>418227669.7/1000</f>
        <v>418227.66969999997</v>
      </c>
      <c r="CL11" s="72">
        <f>430667855/1000</f>
        <v>430667.85499999998</v>
      </c>
      <c r="CM11" s="72">
        <f>431024614.33/1000</f>
        <v>431024.61433000001</v>
      </c>
      <c r="CN11" s="72">
        <f>431024614.33/1000</f>
        <v>431024.61433000001</v>
      </c>
      <c r="CO11" s="72">
        <f>431024614.33/1000</f>
        <v>431024.61433000001</v>
      </c>
      <c r="CP11" s="72">
        <f>450827959.24/1000</f>
        <v>450827.95924</v>
      </c>
      <c r="CQ11" s="72">
        <f>462277233.57/1000</f>
        <v>462277.23356999998</v>
      </c>
      <c r="CR11" s="72">
        <f>462996251.01/1000</f>
        <v>462996.25101000001</v>
      </c>
      <c r="CS11" s="72">
        <v>475057.08323000005</v>
      </c>
      <c r="CT11" s="72">
        <f>482544168.11/1000</f>
        <v>482544.16811000003</v>
      </c>
      <c r="CU11" s="72">
        <f>489858948.51/1000</f>
        <v>489858.94851000002</v>
      </c>
      <c r="CV11" s="72">
        <f>496246487/1000</f>
        <v>496246.48700000002</v>
      </c>
      <c r="CW11" s="72">
        <v>496246.48700000002</v>
      </c>
      <c r="CX11" s="72">
        <v>496743.32387000002</v>
      </c>
      <c r="CY11" s="72">
        <v>519249.83013000002</v>
      </c>
      <c r="CZ11" s="20">
        <v>4.5308120267540941E-2</v>
      </c>
      <c r="DA11" s="20">
        <v>1.4492316125264582E-2</v>
      </c>
      <c r="DB11" s="20">
        <v>0.20468718691887333</v>
      </c>
      <c r="DC11" s="20">
        <v>0.20158237898807396</v>
      </c>
    </row>
    <row r="12" spans="2:108"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4"/>
      <c r="DA12" s="25"/>
      <c r="DB12" s="20"/>
      <c r="DC12" s="26"/>
    </row>
    <row r="13" spans="2:108"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1">
        <v>6033785.7173599247</v>
      </c>
      <c r="AQ13" s="61">
        <v>6034159.8264498897</v>
      </c>
      <c r="AR13" s="61">
        <v>6039616.1374298809</v>
      </c>
      <c r="AS13" s="61">
        <v>6104674.2571898885</v>
      </c>
      <c r="AT13" s="61">
        <v>6797547.0509398803</v>
      </c>
      <c r="AU13" s="61">
        <v>7167612.3286392102</v>
      </c>
      <c r="AV13" s="61">
        <v>7237238.2432192005</v>
      </c>
      <c r="AW13" s="61">
        <v>7621940.9328191997</v>
      </c>
      <c r="AX13" s="61">
        <v>7683687.4256091202</v>
      </c>
      <c r="AY13" s="61">
        <v>7854690.4719392676</v>
      </c>
      <c r="AZ13" s="61">
        <v>7944675.9574392773</v>
      </c>
      <c r="BA13" s="61">
        <v>7952402.1517692758</v>
      </c>
      <c r="BB13" s="61">
        <v>8188998.6515392596</v>
      </c>
      <c r="BC13" s="61">
        <v>8327296.0919291005</v>
      </c>
      <c r="BD13" s="61">
        <v>8382825.338679119</v>
      </c>
      <c r="BE13" s="61">
        <v>8820931.9798204713</v>
      </c>
      <c r="BF13" s="61">
        <v>8944674.7959902938</v>
      </c>
      <c r="BG13" s="61">
        <v>9012333.877000276</v>
      </c>
      <c r="BH13" s="61">
        <v>9097042.2979502864</v>
      </c>
      <c r="BI13" s="61">
        <v>9207082.7438497264</v>
      </c>
      <c r="BJ13" s="61">
        <v>9263277.6736496966</v>
      </c>
      <c r="BK13" s="61">
        <v>9467314.7966396101</v>
      </c>
      <c r="BL13" s="61">
        <v>9471372</v>
      </c>
      <c r="BM13" s="61">
        <v>9612684</v>
      </c>
      <c r="BN13" s="61">
        <v>9834111</v>
      </c>
      <c r="BO13" s="61">
        <v>9834111</v>
      </c>
      <c r="BP13" s="61">
        <v>10172462.738829</v>
      </c>
      <c r="BQ13" s="61">
        <v>10291946.489300011</v>
      </c>
      <c r="BR13" s="61">
        <f>10381282229/1000</f>
        <v>10381282.229</v>
      </c>
      <c r="BS13" s="61">
        <v>10428582.952649999</v>
      </c>
      <c r="BT13" s="61">
        <v>10505666.79851</v>
      </c>
      <c r="BU13" s="61">
        <v>10656719</v>
      </c>
      <c r="BV13" s="61">
        <v>10700253.557199998</v>
      </c>
      <c r="BW13" s="61">
        <v>10834565.302990001</v>
      </c>
      <c r="BX13" s="68">
        <v>10932183.21221</v>
      </c>
      <c r="BY13" s="68">
        <v>11043552.81923</v>
      </c>
      <c r="BZ13" s="68">
        <v>11120575</v>
      </c>
      <c r="CA13" s="68">
        <f>11263888627.54/1000</f>
        <v>11263888.627540002</v>
      </c>
      <c r="CB13" s="68">
        <f>11330806897.56/1000</f>
        <v>11330806.897559999</v>
      </c>
      <c r="CC13" s="68">
        <v>11475039.18107</v>
      </c>
      <c r="CD13" s="68">
        <f>11622845665.77/1000</f>
        <v>11622845.66577</v>
      </c>
      <c r="CE13" s="68">
        <v>11841951.364</v>
      </c>
      <c r="CF13" s="68">
        <f>11924592456.21/1000</f>
        <v>11924592.456209999</v>
      </c>
      <c r="CG13" s="68">
        <f>12070250490.37/1000</f>
        <v>12070250.490370002</v>
      </c>
      <c r="CH13" s="68">
        <f>12224445488.88/1000</f>
        <v>12224445.488879999</v>
      </c>
      <c r="CI13" s="68">
        <f>12464238067.18/1000</f>
        <v>12464238.06718</v>
      </c>
      <c r="CJ13" s="68">
        <f>12607294989.05/1000</f>
        <v>12607294.989049999</v>
      </c>
      <c r="CK13" s="68">
        <f>12723131977.8/1000</f>
        <v>12723131.977799999</v>
      </c>
      <c r="CL13" s="68">
        <f>12610784792.24/1000</f>
        <v>12610784.792239999</v>
      </c>
      <c r="CM13" s="68">
        <f>12603551075.06/1000</f>
        <v>12603551.075059999</v>
      </c>
      <c r="CN13" s="68">
        <f>12568559291.29/1000</f>
        <v>12568559.29129</v>
      </c>
      <c r="CO13" s="68">
        <f>12662695696.51/1000</f>
        <v>12662695.69651</v>
      </c>
      <c r="CP13" s="68">
        <f>12796841193.51/1000</f>
        <v>12796841.19351</v>
      </c>
      <c r="CQ13" s="68">
        <f>12990171663.23/1000</f>
        <v>12990171.66323</v>
      </c>
      <c r="CR13" s="68">
        <f>13214711753.33/1000</f>
        <v>13214711.75333</v>
      </c>
      <c r="CS13" s="68">
        <v>13505082.534260001</v>
      </c>
      <c r="CT13" s="68">
        <f>13680657458.31/1000</f>
        <v>13680657.458309999</v>
      </c>
      <c r="CU13" s="68">
        <f>14195072584.1/1000</f>
        <v>14195072.584100001</v>
      </c>
      <c r="CV13" s="68">
        <f>14416522054.1/1000</f>
        <v>14416522.054100001</v>
      </c>
      <c r="CW13" s="68">
        <v>14594171.501219999</v>
      </c>
      <c r="CX13" s="68">
        <v>14873402.61671</v>
      </c>
      <c r="CY13" s="68">
        <v>15044808.743700001</v>
      </c>
      <c r="CZ13" s="20">
        <v>1.1524338539550483E-2</v>
      </c>
      <c r="DA13" s="65">
        <v>1.3667996412646932E-2</v>
      </c>
      <c r="DB13" s="20">
        <v>0.19369601901092626</v>
      </c>
      <c r="DC13" s="65">
        <v>0.12873860246799107</v>
      </c>
      <c r="DD13" s="27"/>
    </row>
    <row r="14" spans="2:108"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f>4498642192.95/1000</f>
        <v>4498642.1929500001</v>
      </c>
      <c r="BS14" s="30">
        <v>4517677.5185600007</v>
      </c>
      <c r="BT14" s="30">
        <v>4528248.9072000002</v>
      </c>
      <c r="BU14" s="30">
        <v>4566748</v>
      </c>
      <c r="BV14" s="30">
        <v>4569453.3421999998</v>
      </c>
      <c r="BW14" s="30">
        <v>4600465.5214299997</v>
      </c>
      <c r="BX14" s="30">
        <v>4601195.23704</v>
      </c>
      <c r="BY14" s="30">
        <f>4666754138.47/1000</f>
        <v>4666754.1384700006</v>
      </c>
      <c r="BZ14" s="30">
        <v>4668481</v>
      </c>
      <c r="CA14" s="30">
        <f>4745814785.6164/1000</f>
        <v>4745814.7856163997</v>
      </c>
      <c r="CB14" s="30">
        <f>4741320176.0726/1000</f>
        <v>4741320.1760726003</v>
      </c>
      <c r="CC14" s="30">
        <v>4790854.4623224996</v>
      </c>
      <c r="CD14" s="30">
        <f>4904901164.32/1000</f>
        <v>4904901.1643199995</v>
      </c>
      <c r="CE14" s="30">
        <v>4978209.7881899904</v>
      </c>
      <c r="CF14" s="30">
        <f>4939301057.3/1000</f>
        <v>4939301.0573000005</v>
      </c>
      <c r="CG14" s="30">
        <f>4993360988.6/1000</f>
        <v>4993360.9886000007</v>
      </c>
      <c r="CH14" s="30">
        <f>5023794992.69/1000</f>
        <v>5023794.9926899998</v>
      </c>
      <c r="CI14" s="30">
        <f>5132992324.52/1000</f>
        <v>5132992.3245200003</v>
      </c>
      <c r="CJ14" s="30">
        <f>5146603774.75/1000</f>
        <v>5146603.7747499999</v>
      </c>
      <c r="CK14" s="30">
        <f>5169310434/1000</f>
        <v>5169310.4340000004</v>
      </c>
      <c r="CL14" s="30">
        <f>5094463485.14/1000</f>
        <v>5094463.4851400005</v>
      </c>
      <c r="CM14" s="30">
        <f>5087810647.68/1000</f>
        <v>5087810.6476800004</v>
      </c>
      <c r="CN14" s="30">
        <f>5068372108.65/1000</f>
        <v>5068372.1086499998</v>
      </c>
      <c r="CO14" s="30">
        <f>5154327808.55/1000</f>
        <v>5154327.8085500002</v>
      </c>
      <c r="CP14" s="30">
        <f>5195171548.22/1000</f>
        <v>5195171.5482200002</v>
      </c>
      <c r="CQ14" s="30">
        <f>5263687952.43/1000</f>
        <v>5263687.9524300005</v>
      </c>
      <c r="CR14" s="30">
        <f>5310738065.95/1000</f>
        <v>5310738.0659499997</v>
      </c>
      <c r="CS14" s="30">
        <v>5391101.4858500008</v>
      </c>
      <c r="CT14" s="30">
        <f>5410732134.31/1000</f>
        <v>5410732.1343100006</v>
      </c>
      <c r="CU14" s="30">
        <f>5571005979.11/1000</f>
        <v>5571005.9791099997</v>
      </c>
      <c r="CV14" s="30">
        <f>5564352971.66/1000</f>
        <v>5564352.9716600003</v>
      </c>
      <c r="CW14" s="30">
        <v>5594574.8425200004</v>
      </c>
      <c r="CX14" s="30">
        <v>5676597.2875600001</v>
      </c>
      <c r="CY14" s="30">
        <v>5712237.4847299997</v>
      </c>
      <c r="CZ14" s="20">
        <v>6.2784438219887218E-3</v>
      </c>
      <c r="DA14" s="65">
        <v>9.8685692977333872E-3</v>
      </c>
      <c r="DB14" s="20">
        <v>0.12272996781724421</v>
      </c>
      <c r="DC14" s="65">
        <v>9.9356003413977323E-2</v>
      </c>
      <c r="DD14" s="27"/>
    </row>
    <row r="15" spans="2:108" s="15" customFormat="1" x14ac:dyDescent="0.3">
      <c r="B15" s="28" t="s">
        <v>6</v>
      </c>
      <c r="C15" s="29"/>
      <c r="D15" s="30">
        <f t="shared" ref="D15:BO15" si="0">+D13-D14</f>
        <v>1126031.955009999</v>
      </c>
      <c r="E15" s="30">
        <f t="shared" si="0"/>
        <v>1161668.4050400003</v>
      </c>
      <c r="F15" s="30">
        <f t="shared" si="0"/>
        <v>1187560.2396100003</v>
      </c>
      <c r="G15" s="30">
        <f t="shared" si="0"/>
        <v>1214461.5034900003</v>
      </c>
      <c r="H15" s="30">
        <f t="shared" si="0"/>
        <v>1238277.5459200006</v>
      </c>
      <c r="I15" s="30">
        <f t="shared" si="0"/>
        <v>1261268.9524599998</v>
      </c>
      <c r="J15" s="30">
        <f t="shared" si="0"/>
        <v>1276254.8029099999</v>
      </c>
      <c r="K15" s="30">
        <f t="shared" si="0"/>
        <v>1309458.0815000001</v>
      </c>
      <c r="L15" s="30">
        <f t="shared" si="0"/>
        <v>1326388.6753900009</v>
      </c>
      <c r="M15" s="30">
        <f t="shared" si="0"/>
        <v>1342788.8992599999</v>
      </c>
      <c r="N15" s="30">
        <f t="shared" si="0"/>
        <v>1376908.4471999996</v>
      </c>
      <c r="O15" s="30">
        <f t="shared" si="0"/>
        <v>1417864.74153</v>
      </c>
      <c r="P15" s="30">
        <f t="shared" si="0"/>
        <v>1456155.8818000001</v>
      </c>
      <c r="Q15" s="30">
        <f t="shared" si="0"/>
        <v>2568035.8173858589</v>
      </c>
      <c r="R15" s="30">
        <f t="shared" si="0"/>
        <v>2588644.2259760206</v>
      </c>
      <c r="S15" s="30">
        <f t="shared" si="0"/>
        <v>2660845.3280175719</v>
      </c>
      <c r="T15" s="30">
        <f t="shared" si="0"/>
        <v>2748763.2963243718</v>
      </c>
      <c r="U15" s="30">
        <f t="shared" si="0"/>
        <v>2776435.2300348696</v>
      </c>
      <c r="V15" s="30">
        <f t="shared" si="0"/>
        <v>2808313.4601443405</v>
      </c>
      <c r="W15" s="30">
        <f t="shared" si="0"/>
        <v>2844850.0533394604</v>
      </c>
      <c r="X15" s="30">
        <f t="shared" si="0"/>
        <v>2875791.9033915424</v>
      </c>
      <c r="Y15" s="30">
        <f t="shared" si="0"/>
        <v>2915316.1481299782</v>
      </c>
      <c r="Z15" s="30">
        <f t="shared" si="0"/>
        <v>2970310.0539099397</v>
      </c>
      <c r="AA15" s="30">
        <f t="shared" si="0"/>
        <v>3030564.4339299905</v>
      </c>
      <c r="AB15" s="30">
        <f t="shared" si="0"/>
        <v>2997776.1916200002</v>
      </c>
      <c r="AC15" s="30">
        <f t="shared" si="0"/>
        <v>3018096.179</v>
      </c>
      <c r="AD15" s="30">
        <f t="shared" si="0"/>
        <v>3070257.5980000002</v>
      </c>
      <c r="AE15" s="30">
        <f t="shared" si="0"/>
        <v>3062270</v>
      </c>
      <c r="AF15" s="30">
        <f t="shared" si="0"/>
        <v>3141078</v>
      </c>
      <c r="AG15" s="30">
        <f t="shared" si="0"/>
        <v>3207986.3514000005</v>
      </c>
      <c r="AH15" s="30">
        <f t="shared" si="0"/>
        <v>3214157.1518900008</v>
      </c>
      <c r="AI15" s="30">
        <f t="shared" si="0"/>
        <v>3160141</v>
      </c>
      <c r="AJ15" s="30">
        <f t="shared" si="0"/>
        <v>3156883</v>
      </c>
      <c r="AK15" s="30">
        <f t="shared" si="0"/>
        <v>3161803</v>
      </c>
      <c r="AL15" s="30">
        <f t="shared" si="0"/>
        <v>3147608</v>
      </c>
      <c r="AM15" s="30">
        <f t="shared" si="0"/>
        <v>3292750</v>
      </c>
      <c r="AN15" s="30">
        <f t="shared" si="0"/>
        <v>3312045</v>
      </c>
      <c r="AO15" s="30">
        <f t="shared" si="0"/>
        <v>3366526.3174499855</v>
      </c>
      <c r="AP15" s="30">
        <f t="shared" si="0"/>
        <v>3457546.0632000584</v>
      </c>
      <c r="AQ15" s="30">
        <f t="shared" si="0"/>
        <v>3460778.3795400094</v>
      </c>
      <c r="AR15" s="30">
        <f t="shared" si="0"/>
        <v>3433665.202949991</v>
      </c>
      <c r="AS15" s="30">
        <f t="shared" si="0"/>
        <v>3486100.3995200084</v>
      </c>
      <c r="AT15" s="30">
        <f t="shared" si="0"/>
        <v>3855719.4395599905</v>
      </c>
      <c r="AU15" s="30">
        <f t="shared" si="0"/>
        <v>4113627.99373959</v>
      </c>
      <c r="AV15" s="30">
        <f t="shared" si="0"/>
        <v>4180231.2785595669</v>
      </c>
      <c r="AW15" s="30">
        <f t="shared" si="0"/>
        <v>4569394.9854395697</v>
      </c>
      <c r="AX15" s="30">
        <f t="shared" si="0"/>
        <v>4572359.6983994767</v>
      </c>
      <c r="AY15" s="30">
        <f t="shared" si="0"/>
        <v>4677815.7607596442</v>
      </c>
      <c r="AZ15" s="30">
        <f t="shared" si="0"/>
        <v>4761771.9467296675</v>
      </c>
      <c r="BA15" s="30">
        <f t="shared" si="0"/>
        <v>4767571.2984396648</v>
      </c>
      <c r="BB15" s="30">
        <f t="shared" si="0"/>
        <v>4485666.8408396197</v>
      </c>
      <c r="BC15" s="30">
        <f t="shared" si="0"/>
        <v>4574695.0045994399</v>
      </c>
      <c r="BD15" s="30">
        <f t="shared" si="0"/>
        <v>4612215.3779694606</v>
      </c>
      <c r="BE15" s="30">
        <f t="shared" si="0"/>
        <v>4921227.5936808065</v>
      </c>
      <c r="BF15" s="30">
        <f t="shared" si="0"/>
        <v>5021194.486270614</v>
      </c>
      <c r="BG15" s="30">
        <f t="shared" si="0"/>
        <v>5039470.1915205792</v>
      </c>
      <c r="BH15" s="30">
        <f t="shared" si="0"/>
        <v>5118590.5990005899</v>
      </c>
      <c r="BI15" s="30">
        <f t="shared" si="0"/>
        <v>5177245.4607499484</v>
      </c>
      <c r="BJ15" s="30">
        <f t="shared" si="0"/>
        <v>5233971.7660499346</v>
      </c>
      <c r="BK15" s="30">
        <f t="shared" si="0"/>
        <v>5341611.0628398601</v>
      </c>
      <c r="BL15" s="30">
        <f t="shared" si="0"/>
        <v>5346221</v>
      </c>
      <c r="BM15" s="30">
        <f t="shared" si="0"/>
        <v>5472823</v>
      </c>
      <c r="BN15" s="30">
        <f t="shared" si="0"/>
        <v>5653706</v>
      </c>
      <c r="BO15" s="30">
        <f t="shared" si="0"/>
        <v>5653706</v>
      </c>
      <c r="BP15" s="30">
        <f t="shared" ref="BP15:BX15" si="1">+BP13-BP14</f>
        <v>5749959.6724390797</v>
      </c>
      <c r="BQ15" s="30">
        <f t="shared" si="1"/>
        <v>5826273.7729500085</v>
      </c>
      <c r="BR15" s="30">
        <f t="shared" si="1"/>
        <v>5882640.0360500002</v>
      </c>
      <c r="BS15" s="30">
        <f t="shared" si="1"/>
        <v>5910905.4340899987</v>
      </c>
      <c r="BT15" s="30">
        <f t="shared" si="1"/>
        <v>5977417.8913099999</v>
      </c>
      <c r="BU15" s="30">
        <f t="shared" si="1"/>
        <v>6089971</v>
      </c>
      <c r="BV15" s="30">
        <f t="shared" si="1"/>
        <v>6130800.214999998</v>
      </c>
      <c r="BW15" s="30">
        <f t="shared" si="1"/>
        <v>6234099.781560001</v>
      </c>
      <c r="BX15" s="30">
        <f t="shared" si="1"/>
        <v>6330987.9751699995</v>
      </c>
      <c r="BY15" s="30">
        <f>+BY13-BY14</f>
        <v>6376798.680759999</v>
      </c>
      <c r="BZ15" s="30">
        <f>+BZ13-BZ14</f>
        <v>6452094</v>
      </c>
      <c r="CA15" s="30">
        <f>+CA13-CA14</f>
        <v>6518073.8419236019</v>
      </c>
      <c r="CB15" s="30">
        <f>+CB13-CB14</f>
        <v>6589486.7214873983</v>
      </c>
      <c r="CC15" s="30">
        <f t="shared" ref="CC15:CD15" si="2">+CC13-CC14</f>
        <v>6684184.7187475003</v>
      </c>
      <c r="CD15" s="30">
        <f t="shared" si="2"/>
        <v>6717944.5014500003</v>
      </c>
      <c r="CE15" s="30">
        <v>6863741.5758100096</v>
      </c>
      <c r="CF15" s="30">
        <f t="shared" ref="CF15:CR15" si="3">+CF13-CF14</f>
        <v>6985291.3989099981</v>
      </c>
      <c r="CG15" s="30">
        <f t="shared" si="3"/>
        <v>7076889.5017700009</v>
      </c>
      <c r="CH15" s="30">
        <f t="shared" si="3"/>
        <v>7200650.4961899994</v>
      </c>
      <c r="CI15" s="30">
        <f t="shared" si="3"/>
        <v>7331245.74266</v>
      </c>
      <c r="CJ15" s="30">
        <f t="shared" si="3"/>
        <v>7460691.2142999992</v>
      </c>
      <c r="CK15" s="30">
        <f t="shared" si="3"/>
        <v>7553821.5437999982</v>
      </c>
      <c r="CL15" s="30">
        <f t="shared" si="3"/>
        <v>7516321.3070999989</v>
      </c>
      <c r="CM15" s="30">
        <f t="shared" si="3"/>
        <v>7515740.4273799984</v>
      </c>
      <c r="CN15" s="30">
        <f t="shared" si="3"/>
        <v>7500187.1826400002</v>
      </c>
      <c r="CO15" s="30">
        <f t="shared" si="3"/>
        <v>7508367.88796</v>
      </c>
      <c r="CP15" s="30">
        <f t="shared" si="3"/>
        <v>7601669.6452899994</v>
      </c>
      <c r="CQ15" s="30">
        <f t="shared" si="3"/>
        <v>7726483.7107999995</v>
      </c>
      <c r="CR15" s="30">
        <f t="shared" si="3"/>
        <v>7903973.68738</v>
      </c>
      <c r="CS15" s="30">
        <v>8113981.0484100003</v>
      </c>
      <c r="CT15" s="30">
        <f>+CT13-CT14</f>
        <v>8269925.3239999982</v>
      </c>
      <c r="CU15" s="30">
        <f>+CU13-CU14</f>
        <v>8624066.6049900018</v>
      </c>
      <c r="CV15" s="30">
        <f>+CV13-CV14</f>
        <v>8852169.08244</v>
      </c>
      <c r="CW15" s="30">
        <v>8999596.6586999986</v>
      </c>
      <c r="CX15" s="30">
        <v>9196805.3291499987</v>
      </c>
      <c r="CY15" s="30">
        <v>9332571.2589700017</v>
      </c>
      <c r="CZ15" s="20">
        <v>1.4762292444060243E-2</v>
      </c>
      <c r="DA15" s="65">
        <v>8.8432138854146469E-3</v>
      </c>
      <c r="DB15" s="20">
        <v>0.24173677219762024</v>
      </c>
      <c r="DC15" s="65">
        <v>8.0704296446559853E-2</v>
      </c>
      <c r="DD15" s="27"/>
    </row>
    <row r="16" spans="2:108"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f>6460382017.88634/1000</f>
        <v>6460382.0178863397</v>
      </c>
      <c r="BS16" s="67">
        <v>6486766.9276036462</v>
      </c>
      <c r="BT16" s="67">
        <v>6502225.4407056402</v>
      </c>
      <c r="BU16" s="67">
        <v>6584461</v>
      </c>
      <c r="BV16" s="61">
        <v>6709579.4857897889</v>
      </c>
      <c r="BW16" s="61">
        <v>6702133.4540942684</v>
      </c>
      <c r="BX16" s="61">
        <v>6731739.2691228902</v>
      </c>
      <c r="BY16" s="61">
        <f>6789495741.28415/1000</f>
        <v>6789495.7412841497</v>
      </c>
      <c r="BZ16" s="75">
        <v>6806666</v>
      </c>
      <c r="CA16" s="75">
        <f>6916280837.81956/1000</f>
        <v>6916280.8378195604</v>
      </c>
      <c r="CB16" s="75">
        <f>6937854213.16514/1000</f>
        <v>6937854.2131651398</v>
      </c>
      <c r="CC16" s="75">
        <v>7019436.4107005103</v>
      </c>
      <c r="CD16" s="75">
        <f>7157331119.14/1000</f>
        <v>7157331.1191400001</v>
      </c>
      <c r="CE16" s="75">
        <v>7269383.0381400008</v>
      </c>
      <c r="CF16" s="75">
        <f>7267837112.23/1000</f>
        <v>7267837.1122299992</v>
      </c>
      <c r="CG16" s="75">
        <f>7360290182.88/1000</f>
        <v>7360290.1828800002</v>
      </c>
      <c r="CH16" s="75">
        <f>7430589697.37/1000</f>
        <v>7430589.6973700002</v>
      </c>
      <c r="CI16" s="75">
        <f>7571012074.16/1000</f>
        <v>7571012.0741600003</v>
      </c>
      <c r="CJ16" s="75">
        <f>7618992871.36/1000</f>
        <v>7618992.8713599993</v>
      </c>
      <c r="CK16" s="79">
        <f>7673268781.48/1000</f>
        <v>7673268.7814799994</v>
      </c>
      <c r="CL16" s="81">
        <f>7591096326.62/1000</f>
        <v>7591096.3266199995</v>
      </c>
      <c r="CM16" s="81">
        <f>7584190548.74/1000</f>
        <v>7584190.5487399995</v>
      </c>
      <c r="CN16" s="81">
        <f>7558849339.01/1000</f>
        <v>7558849.3390100002</v>
      </c>
      <c r="CO16" s="81">
        <f>7675183034.29/1000</f>
        <v>7675183.0342899999</v>
      </c>
      <c r="CP16" s="81">
        <f>7742161559.8/1000</f>
        <v>7742161.5597999999</v>
      </c>
      <c r="CQ16" s="81">
        <f>7847086144.25/1000</f>
        <v>7847086.1442499999</v>
      </c>
      <c r="CR16" s="81">
        <f>7942001964.86/1000</f>
        <v>7942001.9648599997</v>
      </c>
      <c r="CS16" s="81">
        <v>8070382.0309600001</v>
      </c>
      <c r="CT16" s="81">
        <f>8117444705.8/1000</f>
        <v>8117444.7058000006</v>
      </c>
      <c r="CU16" s="81">
        <f>8360692707.94/1000</f>
        <v>8360692.7079399992</v>
      </c>
      <c r="CV16" s="81">
        <f>8389695522.14/1000</f>
        <v>8389695.52214</v>
      </c>
      <c r="CW16" s="81">
        <v>8445832.48563</v>
      </c>
      <c r="CX16" s="81">
        <v>8557955.9458600003</v>
      </c>
      <c r="CY16" s="81">
        <v>8624772.0470700003</v>
      </c>
      <c r="CZ16" s="20">
        <v>7.8074836599646424E-3</v>
      </c>
      <c r="DA16" s="65">
        <v>1.6788111749783674E-2</v>
      </c>
      <c r="DB16" s="20">
        <v>0.1372040287810119</v>
      </c>
      <c r="DC16" s="65">
        <v>0.16234764782816669</v>
      </c>
    </row>
    <row r="17" spans="1:107" s="15" customFormat="1" x14ac:dyDescent="0.3">
      <c r="B17" s="34" t="s">
        <v>1</v>
      </c>
      <c r="C17" s="35"/>
      <c r="D17" s="36">
        <f t="shared" ref="D17:BO17" si="4">+D$11/D16</f>
        <v>2.5898696802947575E-2</v>
      </c>
      <c r="E17" s="36">
        <f t="shared" si="4"/>
        <v>2.6429795277258656E-2</v>
      </c>
      <c r="F17" s="36">
        <f t="shared" si="4"/>
        <v>2.6797731644100119E-2</v>
      </c>
      <c r="G17" s="36">
        <f t="shared" si="4"/>
        <v>2.6806465908704186E-2</v>
      </c>
      <c r="H17" s="36">
        <f t="shared" si="4"/>
        <v>2.7145075429641102E-2</v>
      </c>
      <c r="I17" s="36">
        <f t="shared" si="4"/>
        <v>2.748490687953237E-2</v>
      </c>
      <c r="J17" s="36">
        <f t="shared" si="4"/>
        <v>2.7911732694286734E-2</v>
      </c>
      <c r="K17" s="36">
        <f t="shared" si="4"/>
        <v>2.8020467546947224E-2</v>
      </c>
      <c r="L17" s="36">
        <f t="shared" si="4"/>
        <v>2.8577987007496454E-2</v>
      </c>
      <c r="M17" s="36">
        <f t="shared" si="4"/>
        <v>2.9130521824020067E-2</v>
      </c>
      <c r="N17" s="36">
        <f t="shared" si="4"/>
        <v>2.943925155443106E-2</v>
      </c>
      <c r="O17" s="36">
        <f t="shared" si="4"/>
        <v>2.9162372388335359E-2</v>
      </c>
      <c r="P17" s="36">
        <f t="shared" si="4"/>
        <v>3.0005534950648182E-2</v>
      </c>
      <c r="Q17" s="36">
        <f t="shared" si="4"/>
        <v>2.7693173928802717E-2</v>
      </c>
      <c r="R17" s="36">
        <f t="shared" si="4"/>
        <v>2.8737215113988347E-2</v>
      </c>
      <c r="S17" s="36">
        <f t="shared" si="4"/>
        <v>2.4903174784241401E-2</v>
      </c>
      <c r="T17" s="36">
        <f t="shared" si="4"/>
        <v>2.6183037987817768E-2</v>
      </c>
      <c r="U17" s="36">
        <f t="shared" si="4"/>
        <v>2.6098693679449413E-2</v>
      </c>
      <c r="V17" s="36">
        <f t="shared" si="4"/>
        <v>3.098124808550938E-2</v>
      </c>
      <c r="W17" s="36">
        <f t="shared" si="4"/>
        <v>3.0635495015524362E-2</v>
      </c>
      <c r="X17" s="36">
        <f t="shared" si="4"/>
        <v>3.1396613942918337E-2</v>
      </c>
      <c r="Y17" s="36">
        <f t="shared" si="4"/>
        <v>3.2683269601954279E-2</v>
      </c>
      <c r="Z17" s="36">
        <f t="shared" si="4"/>
        <v>3.2631516020290033E-2</v>
      </c>
      <c r="AA17" s="36">
        <f t="shared" si="4"/>
        <v>3.2531207127062547E-2</v>
      </c>
      <c r="AB17" s="36">
        <f t="shared" si="4"/>
        <v>3.3501924588786161E-2</v>
      </c>
      <c r="AC17" s="36">
        <f t="shared" si="4"/>
        <v>3.4495648327255032E-2</v>
      </c>
      <c r="AD17" s="36">
        <f t="shared" si="4"/>
        <v>3.4881340054825551E-2</v>
      </c>
      <c r="AE17" s="36">
        <f t="shared" si="4"/>
        <v>3.510894238025089E-2</v>
      </c>
      <c r="AF17" s="36">
        <f t="shared" si="4"/>
        <v>3.4637279348611064E-2</v>
      </c>
      <c r="AG17" s="36">
        <f t="shared" si="4"/>
        <v>3.479333169723707E-2</v>
      </c>
      <c r="AH17" s="36">
        <f t="shared" si="4"/>
        <v>3.5620269565604504E-2</v>
      </c>
      <c r="AI17" s="36">
        <f t="shared" si="4"/>
        <v>3.6258336782406024E-2</v>
      </c>
      <c r="AJ17" s="36">
        <f t="shared" si="4"/>
        <v>3.7186351958452664E-2</v>
      </c>
      <c r="AK17" s="36">
        <f t="shared" si="4"/>
        <v>3.8117180797267475E-2</v>
      </c>
      <c r="AL17" s="36">
        <f t="shared" si="4"/>
        <v>3.9273842659256687E-2</v>
      </c>
      <c r="AM17" s="36">
        <f t="shared" si="4"/>
        <v>4.1531220195593348E-2</v>
      </c>
      <c r="AN17" s="36">
        <f t="shared" si="4"/>
        <v>4.2527822582343798E-2</v>
      </c>
      <c r="AO17" s="36">
        <f t="shared" si="4"/>
        <v>4.290184339990926E-2</v>
      </c>
      <c r="AP17" s="36">
        <f t="shared" si="4"/>
        <v>4.4088752254693629E-2</v>
      </c>
      <c r="AQ17" s="36">
        <f t="shared" si="4"/>
        <v>4.5040011847241476E-2</v>
      </c>
      <c r="AR17" s="36">
        <f t="shared" si="4"/>
        <v>4.5490935736435846E-2</v>
      </c>
      <c r="AS17" s="36">
        <f t="shared" si="4"/>
        <v>4.6128691196548763E-2</v>
      </c>
      <c r="AT17" s="36">
        <f t="shared" si="4"/>
        <v>4.1670058293244015E-2</v>
      </c>
      <c r="AU17" s="36">
        <f t="shared" si="4"/>
        <v>4.7902625832050572E-2</v>
      </c>
      <c r="AV17" s="36">
        <f t="shared" si="4"/>
        <v>4.8839153715104625E-2</v>
      </c>
      <c r="AW17" s="36">
        <f t="shared" si="4"/>
        <v>4.8295319269260582E-2</v>
      </c>
      <c r="AX17" s="36">
        <f t="shared" si="4"/>
        <v>4.8778085948663466E-2</v>
      </c>
      <c r="AY17" s="36">
        <f t="shared" si="4"/>
        <v>4.8604710267064082E-2</v>
      </c>
      <c r="AZ17" s="36">
        <f t="shared" si="4"/>
        <v>4.7539361690157267E-2</v>
      </c>
      <c r="BA17" s="36">
        <f t="shared" si="4"/>
        <v>4.8047131547933088E-2</v>
      </c>
      <c r="BB17" s="36">
        <f t="shared" si="4"/>
        <v>4.9737800507077157E-2</v>
      </c>
      <c r="BC17" s="36">
        <f t="shared" si="4"/>
        <v>4.9567658254802006E-2</v>
      </c>
      <c r="BD17" s="36">
        <f t="shared" si="4"/>
        <v>4.9733769081984174E-2</v>
      </c>
      <c r="BE17" s="36">
        <f t="shared" si="4"/>
        <v>4.8381664751462133E-2</v>
      </c>
      <c r="BF17" s="36">
        <f t="shared" si="4"/>
        <v>4.8562673494163468E-2</v>
      </c>
      <c r="BG17" s="36">
        <f t="shared" si="4"/>
        <v>4.8438443243486853E-2</v>
      </c>
      <c r="BH17" s="36">
        <f t="shared" si="4"/>
        <v>4.8893666771889763E-2</v>
      </c>
      <c r="BI17" s="36">
        <f t="shared" si="4"/>
        <v>4.8776408917680265E-2</v>
      </c>
      <c r="BJ17" s="36">
        <f t="shared" si="4"/>
        <v>4.9243750581656677E-2</v>
      </c>
      <c r="BK17" s="36">
        <f t="shared" si="4"/>
        <v>4.8726612359879552E-2</v>
      </c>
      <c r="BL17" s="36">
        <f t="shared" si="4"/>
        <v>4.9551676474129128E-2</v>
      </c>
      <c r="BM17" s="36">
        <f t="shared" si="4"/>
        <v>4.9104618562768966E-2</v>
      </c>
      <c r="BN17" s="36">
        <f t="shared" si="4"/>
        <v>4.9883745877394518E-2</v>
      </c>
      <c r="BO17" s="36">
        <f t="shared" si="4"/>
        <v>5.0699024538391819E-2</v>
      </c>
      <c r="BP17" s="36">
        <f t="shared" ref="BP17:CV17" si="5">+BP$11/BP16</f>
        <v>4.9073013837581315E-2</v>
      </c>
      <c r="BQ17" s="36">
        <f t="shared" si="5"/>
        <v>4.9237356084999205E-2</v>
      </c>
      <c r="BR17" s="36">
        <f t="shared" si="5"/>
        <v>4.9616090974581646E-2</v>
      </c>
      <c r="BS17" s="36">
        <f t="shared" si="5"/>
        <v>5.0209515730252972E-2</v>
      </c>
      <c r="BT17" s="36">
        <f t="shared" si="5"/>
        <v>5.0901317085690276E-2</v>
      </c>
      <c r="BU17" s="36">
        <f t="shared" si="5"/>
        <v>5.1060671480930631E-2</v>
      </c>
      <c r="BV17" s="36">
        <f t="shared" si="5"/>
        <v>5.0161005717690423E-2</v>
      </c>
      <c r="BW17" s="36">
        <f t="shared" si="5"/>
        <v>5.0297547485281473E-2</v>
      </c>
      <c r="BX17" s="36">
        <f t="shared" si="5"/>
        <v>5.0144192869784443E-2</v>
      </c>
      <c r="BY17" s="36">
        <f t="shared" si="5"/>
        <v>5.0509736404244054E-2</v>
      </c>
      <c r="BZ17" s="36">
        <f t="shared" si="5"/>
        <v>5.1985803328678096E-2</v>
      </c>
      <c r="CA17" s="36">
        <f t="shared" si="5"/>
        <v>5.1182421347656E-2</v>
      </c>
      <c r="CB17" s="36">
        <f t="shared" si="5"/>
        <v>5.183786902260748E-2</v>
      </c>
      <c r="CC17" s="36">
        <f t="shared" si="5"/>
        <v>5.2044439529802984E-2</v>
      </c>
      <c r="CD17" s="36">
        <f t="shared" si="5"/>
        <v>5.1881850346001374E-2</v>
      </c>
      <c r="CE17" s="36">
        <f t="shared" si="5"/>
        <v>5.1907201087115551E-2</v>
      </c>
      <c r="CF17" s="36">
        <f t="shared" si="5"/>
        <v>5.2722012626729049E-2</v>
      </c>
      <c r="CG17" s="36">
        <f t="shared" si="5"/>
        <v>5.288318564332696E-2</v>
      </c>
      <c r="CH17" s="36">
        <f t="shared" si="5"/>
        <v>5.3240600392728286E-2</v>
      </c>
      <c r="CI17" s="36">
        <f t="shared" si="5"/>
        <v>5.4387160976187614E-2</v>
      </c>
      <c r="CJ17" s="36">
        <f t="shared" si="5"/>
        <v>5.4068322176611665E-2</v>
      </c>
      <c r="CK17" s="36">
        <f t="shared" si="5"/>
        <v>5.4504498879202994E-2</v>
      </c>
      <c r="CL17" s="36">
        <f t="shared" si="5"/>
        <v>5.6733288114097551E-2</v>
      </c>
      <c r="CM17" s="36">
        <f t="shared" si="5"/>
        <v>5.6831986427557303E-2</v>
      </c>
      <c r="CN17" s="36">
        <f t="shared" si="5"/>
        <v>5.7022516920075601E-2</v>
      </c>
      <c r="CO17" s="36">
        <f t="shared" si="5"/>
        <v>5.615821960262507E-2</v>
      </c>
      <c r="CP17" s="36">
        <f t="shared" si="5"/>
        <v>5.8230244326191255E-2</v>
      </c>
      <c r="CQ17" s="36">
        <f t="shared" si="5"/>
        <v>5.8910686727803599E-2</v>
      </c>
      <c r="CR17" s="36">
        <f t="shared" si="5"/>
        <v>5.8297171551777834E-2</v>
      </c>
      <c r="CS17" s="36">
        <f t="shared" si="5"/>
        <v>5.8864262113932461E-2</v>
      </c>
      <c r="CT17" s="36">
        <f t="shared" si="5"/>
        <v>5.9445328622345535E-2</v>
      </c>
      <c r="CU17" s="36">
        <f t="shared" si="5"/>
        <v>5.8590713188727744E-2</v>
      </c>
      <c r="CV17" s="36">
        <f t="shared" si="5"/>
        <v>5.9149522851029528E-2</v>
      </c>
      <c r="CW17" s="36">
        <v>5.8756373376375758E-2</v>
      </c>
      <c r="CX17" s="36">
        <v>5.8044622689405724E-2</v>
      </c>
      <c r="CY17" s="36">
        <v>6.0204470019169849E-2</v>
      </c>
      <c r="CZ17" s="71"/>
      <c r="DA17" s="71"/>
      <c r="DB17" s="71"/>
      <c r="DC17" s="71"/>
    </row>
    <row r="18" spans="1:107"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71"/>
      <c r="DA18" s="71"/>
      <c r="DB18" s="71"/>
      <c r="DC18" s="71"/>
    </row>
    <row r="19" spans="1:107"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0">
        <v>9035959</v>
      </c>
      <c r="CL19" s="81">
        <v>9063505</v>
      </c>
      <c r="CM19" s="81">
        <v>9063669</v>
      </c>
      <c r="CN19" s="81">
        <v>9094806</v>
      </c>
      <c r="CO19" s="81">
        <v>9125164</v>
      </c>
      <c r="CP19" s="81">
        <v>9148429</v>
      </c>
      <c r="CQ19" s="81">
        <v>9184744</v>
      </c>
      <c r="CR19" s="81">
        <v>9227764</v>
      </c>
      <c r="CS19" s="81">
        <v>9257133</v>
      </c>
      <c r="CT19" s="81">
        <v>9274531</v>
      </c>
      <c r="CU19" s="84">
        <v>9344982</v>
      </c>
      <c r="CV19" s="84">
        <v>9362347</v>
      </c>
      <c r="CW19" s="84">
        <v>9397195</v>
      </c>
      <c r="CX19" s="84">
        <v>9524535</v>
      </c>
      <c r="CY19" s="84">
        <v>9570279</v>
      </c>
      <c r="CZ19" s="20">
        <v>4.8027541502027038E-3</v>
      </c>
      <c r="DA19" s="65">
        <v>4.1938811979165269E-3</v>
      </c>
      <c r="DB19" s="20">
        <v>5.5894583087709782E-2</v>
      </c>
      <c r="DC19" s="65">
        <v>7.9400496398410514E-2</v>
      </c>
    </row>
    <row r="20" spans="1:107" s="21" customFormat="1" ht="15" customHeight="1" x14ac:dyDescent="0.3">
      <c r="B20" s="112" t="s">
        <v>2</v>
      </c>
      <c r="C20" s="113"/>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2">
        <v>8875444</v>
      </c>
      <c r="CL20" s="82">
        <v>8903507</v>
      </c>
      <c r="CM20" s="82">
        <v>8903908</v>
      </c>
      <c r="CN20" s="82">
        <v>8934395</v>
      </c>
      <c r="CO20" s="82">
        <v>8968552</v>
      </c>
      <c r="CP20" s="82">
        <v>8992099</v>
      </c>
      <c r="CQ20" s="82">
        <v>9028107</v>
      </c>
      <c r="CR20" s="82">
        <v>9069409</v>
      </c>
      <c r="CS20" s="82">
        <v>9097182</v>
      </c>
      <c r="CT20" s="82">
        <v>9113761</v>
      </c>
      <c r="CU20" s="82">
        <v>9181544</v>
      </c>
      <c r="CV20" s="84">
        <v>9196404</v>
      </c>
      <c r="CW20" s="84">
        <v>9230537</v>
      </c>
      <c r="CX20" s="84">
        <v>9356551</v>
      </c>
      <c r="CY20" s="84">
        <v>9400458</v>
      </c>
      <c r="CZ20" s="20">
        <v>4.6926479639772811E-3</v>
      </c>
      <c r="DA20" s="65">
        <v>4.1866756974451302E-3</v>
      </c>
      <c r="DB20" s="20">
        <v>5.5767647194917114E-2</v>
      </c>
      <c r="DC20" s="65">
        <v>8.0373647897565847E-2</v>
      </c>
    </row>
    <row r="21" spans="1:107" s="21" customFormat="1" ht="15" customHeight="1" x14ac:dyDescent="0.3">
      <c r="B21" s="112" t="s">
        <v>3</v>
      </c>
      <c r="C21" s="113"/>
      <c r="D21" s="39">
        <f t="shared" ref="D21:BO21" si="6">+D19-D20</f>
        <v>14248</v>
      </c>
      <c r="E21" s="39">
        <f t="shared" si="6"/>
        <v>14621</v>
      </c>
      <c r="F21" s="39">
        <f t="shared" si="6"/>
        <v>14904</v>
      </c>
      <c r="G21" s="39">
        <f t="shared" si="6"/>
        <v>15246</v>
      </c>
      <c r="H21" s="39">
        <f t="shared" si="6"/>
        <v>15649</v>
      </c>
      <c r="I21" s="39">
        <f t="shared" si="6"/>
        <v>15958</v>
      </c>
      <c r="J21" s="39">
        <f t="shared" si="6"/>
        <v>16182</v>
      </c>
      <c r="K21" s="39">
        <f t="shared" si="6"/>
        <v>16681</v>
      </c>
      <c r="L21" s="39">
        <f t="shared" si="6"/>
        <v>16895</v>
      </c>
      <c r="M21" s="39">
        <f t="shared" si="6"/>
        <v>17116</v>
      </c>
      <c r="N21" s="39">
        <f t="shared" si="6"/>
        <v>17427</v>
      </c>
      <c r="O21" s="39">
        <f t="shared" si="6"/>
        <v>17925</v>
      </c>
      <c r="P21" s="39">
        <f t="shared" si="6"/>
        <v>18246</v>
      </c>
      <c r="Q21" s="39">
        <f t="shared" si="6"/>
        <v>91725</v>
      </c>
      <c r="R21" s="39">
        <f t="shared" si="6"/>
        <v>96260</v>
      </c>
      <c r="S21" s="39">
        <f t="shared" si="6"/>
        <v>107969</v>
      </c>
      <c r="T21" s="39">
        <f t="shared" si="6"/>
        <v>159881</v>
      </c>
      <c r="U21" s="39">
        <f t="shared" si="6"/>
        <v>178267</v>
      </c>
      <c r="V21" s="39">
        <f t="shared" si="6"/>
        <v>182048</v>
      </c>
      <c r="W21" s="39">
        <f t="shared" si="6"/>
        <v>185604</v>
      </c>
      <c r="X21" s="39">
        <f t="shared" si="6"/>
        <v>185779</v>
      </c>
      <c r="Y21" s="39">
        <f t="shared" si="6"/>
        <v>188568</v>
      </c>
      <c r="Z21" s="39">
        <f t="shared" si="6"/>
        <v>186956</v>
      </c>
      <c r="AA21" s="39">
        <f t="shared" si="6"/>
        <v>192405</v>
      </c>
      <c r="AB21" s="39">
        <f t="shared" si="6"/>
        <v>160416</v>
      </c>
      <c r="AC21" s="39">
        <f t="shared" si="6"/>
        <v>157586</v>
      </c>
      <c r="AD21" s="39">
        <f t="shared" si="6"/>
        <v>158449</v>
      </c>
      <c r="AE21" s="39">
        <f t="shared" si="6"/>
        <v>168753</v>
      </c>
      <c r="AF21" s="39">
        <f t="shared" si="6"/>
        <v>176687</v>
      </c>
      <c r="AG21" s="39">
        <f t="shared" si="6"/>
        <v>181048</v>
      </c>
      <c r="AH21" s="39">
        <f t="shared" si="6"/>
        <v>180954</v>
      </c>
      <c r="AI21" s="39">
        <f t="shared" si="6"/>
        <v>176533</v>
      </c>
      <c r="AJ21" s="39">
        <f t="shared" si="6"/>
        <v>176140</v>
      </c>
      <c r="AK21" s="39">
        <f t="shared" si="6"/>
        <v>176450</v>
      </c>
      <c r="AL21" s="39">
        <f t="shared" si="6"/>
        <v>176014</v>
      </c>
      <c r="AM21" s="39">
        <f t="shared" si="6"/>
        <v>226584</v>
      </c>
      <c r="AN21" s="39">
        <f t="shared" si="6"/>
        <v>225935</v>
      </c>
      <c r="AO21" s="39">
        <f t="shared" si="6"/>
        <v>228326</v>
      </c>
      <c r="AP21" s="39">
        <f t="shared" si="6"/>
        <v>223154</v>
      </c>
      <c r="AQ21" s="39">
        <f t="shared" si="6"/>
        <v>223211</v>
      </c>
      <c r="AR21" s="39">
        <f t="shared" si="6"/>
        <v>215917</v>
      </c>
      <c r="AS21" s="39">
        <f t="shared" si="6"/>
        <v>224405</v>
      </c>
      <c r="AT21" s="39">
        <f t="shared" si="6"/>
        <v>228904</v>
      </c>
      <c r="AU21" s="39">
        <f t="shared" si="6"/>
        <v>229155</v>
      </c>
      <c r="AV21" s="39">
        <f t="shared" si="6"/>
        <v>229875</v>
      </c>
      <c r="AW21" s="39">
        <f t="shared" si="6"/>
        <v>228551</v>
      </c>
      <c r="AX21" s="39">
        <f t="shared" si="6"/>
        <v>236258</v>
      </c>
      <c r="AY21" s="39">
        <f t="shared" si="6"/>
        <v>241871</v>
      </c>
      <c r="AZ21" s="39">
        <f t="shared" si="6"/>
        <v>242769</v>
      </c>
      <c r="BA21" s="39">
        <f t="shared" si="6"/>
        <v>242873</v>
      </c>
      <c r="BB21" s="39">
        <f t="shared" si="6"/>
        <v>109937</v>
      </c>
      <c r="BC21" s="39">
        <f t="shared" si="6"/>
        <v>108898</v>
      </c>
      <c r="BD21" s="39">
        <f t="shared" si="6"/>
        <v>109170</v>
      </c>
      <c r="BE21" s="39">
        <f t="shared" si="6"/>
        <v>114934</v>
      </c>
      <c r="BF21" s="39">
        <f t="shared" si="6"/>
        <v>115457</v>
      </c>
      <c r="BG21" s="39">
        <f t="shared" si="6"/>
        <v>115353</v>
      </c>
      <c r="BH21" s="39">
        <f t="shared" si="6"/>
        <v>116199</v>
      </c>
      <c r="BI21" s="39">
        <f t="shared" si="6"/>
        <v>117728</v>
      </c>
      <c r="BJ21" s="39">
        <f t="shared" si="6"/>
        <v>118803</v>
      </c>
      <c r="BK21" s="39">
        <f t="shared" si="6"/>
        <v>121352</v>
      </c>
      <c r="BL21" s="39">
        <f t="shared" si="6"/>
        <v>121438</v>
      </c>
      <c r="BM21" s="39">
        <f t="shared" si="6"/>
        <v>123209</v>
      </c>
      <c r="BN21" s="39">
        <f t="shared" si="6"/>
        <v>126292</v>
      </c>
      <c r="BO21" s="39">
        <f t="shared" si="6"/>
        <v>126292</v>
      </c>
      <c r="BP21" s="39">
        <f t="shared" ref="BP21:BX21" si="7">+BP19-BP20</f>
        <v>123913</v>
      </c>
      <c r="BQ21" s="39">
        <f t="shared" si="7"/>
        <v>125107</v>
      </c>
      <c r="BR21" s="39">
        <f t="shared" si="7"/>
        <v>125683</v>
      </c>
      <c r="BS21" s="39">
        <f t="shared" si="7"/>
        <v>125793</v>
      </c>
      <c r="BT21" s="39">
        <f t="shared" si="7"/>
        <v>135718</v>
      </c>
      <c r="BU21" s="39">
        <f t="shared" si="7"/>
        <v>148244</v>
      </c>
      <c r="BV21" s="39">
        <f t="shared" si="7"/>
        <v>149558</v>
      </c>
      <c r="BW21" s="39">
        <f t="shared" si="7"/>
        <v>142882</v>
      </c>
      <c r="BX21" s="39">
        <f t="shared" si="7"/>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2">
        <v>160515</v>
      </c>
      <c r="CL21" s="83">
        <v>159998</v>
      </c>
      <c r="CM21" s="83">
        <v>159761</v>
      </c>
      <c r="CN21" s="83">
        <v>160411</v>
      </c>
      <c r="CO21" s="83">
        <v>156613</v>
      </c>
      <c r="CP21" s="83">
        <v>156330</v>
      </c>
      <c r="CQ21" s="83">
        <v>156637</v>
      </c>
      <c r="CR21" s="83">
        <v>158355</v>
      </c>
      <c r="CS21" s="83">
        <v>159951</v>
      </c>
      <c r="CT21" s="83">
        <v>160770</v>
      </c>
      <c r="CU21" s="83">
        <v>163438</v>
      </c>
      <c r="CV21" s="84">
        <v>165943</v>
      </c>
      <c r="CW21" s="84">
        <v>166658</v>
      </c>
      <c r="CX21" s="84">
        <v>167984</v>
      </c>
      <c r="CY21" s="84">
        <v>169821</v>
      </c>
      <c r="CZ21" s="20">
        <v>1.0935565291932514E-2</v>
      </c>
      <c r="DA21" s="65">
        <v>4.5938754860979092E-3</v>
      </c>
      <c r="DB21" s="20">
        <v>6.2969060033424951E-2</v>
      </c>
      <c r="DC21" s="65">
        <v>2.7030870215249081E-2</v>
      </c>
    </row>
    <row r="22" spans="1:107"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66"/>
      <c r="DA22" s="66"/>
    </row>
    <row r="23" spans="1:107" s="54" customFormat="1" ht="15" customHeight="1" x14ac:dyDescent="0.3">
      <c r="A23" s="11"/>
      <c r="B23" s="4" t="s">
        <v>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row>
    <row r="24" spans="1:107" s="54" customFormat="1" ht="15" customHeight="1" x14ac:dyDescent="0.3">
      <c r="A24" s="11"/>
      <c r="B24" s="5" t="s">
        <v>48</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row>
    <row r="25" spans="1:107"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76"/>
      <c r="CE25" s="76"/>
      <c r="CF25" s="76"/>
      <c r="CG25" s="76"/>
      <c r="CH25" s="76"/>
      <c r="CI25" s="76"/>
      <c r="CJ25" s="76"/>
      <c r="CK25" s="76"/>
      <c r="CL25" s="76"/>
      <c r="CM25" s="76"/>
      <c r="CN25" s="76"/>
      <c r="CO25" s="76"/>
      <c r="CP25" s="76"/>
      <c r="CQ25" s="76"/>
      <c r="CR25" s="76"/>
      <c r="CS25" s="76"/>
      <c r="CT25" s="76"/>
      <c r="CU25" s="76"/>
      <c r="CV25" s="76"/>
      <c r="CW25" s="76"/>
      <c r="CX25" s="76"/>
      <c r="CY25" s="76"/>
      <c r="CZ25" s="45"/>
      <c r="DA25" s="45"/>
    </row>
    <row r="26" spans="1:107"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76"/>
      <c r="CE26" s="76"/>
      <c r="CF26" s="76"/>
      <c r="CG26" s="76"/>
      <c r="CH26" s="76"/>
      <c r="CI26" s="76"/>
      <c r="CJ26" s="76"/>
      <c r="CK26" s="76"/>
      <c r="CL26" s="76"/>
      <c r="CM26" s="76"/>
      <c r="CN26" s="76"/>
      <c r="CO26" s="76"/>
      <c r="CP26" s="76"/>
      <c r="CQ26" s="76"/>
      <c r="CR26" s="76"/>
      <c r="CS26" s="76"/>
      <c r="CT26" s="76"/>
      <c r="CU26" s="76"/>
      <c r="CV26" s="76"/>
      <c r="CW26" s="76"/>
      <c r="CX26" s="76"/>
      <c r="CY26" s="76"/>
      <c r="CZ26" s="45"/>
      <c r="DA26" s="45"/>
    </row>
    <row r="27" spans="1:107"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77"/>
      <c r="CE27" s="77"/>
      <c r="CF27" s="77"/>
      <c r="CG27" s="77"/>
      <c r="CH27" s="77"/>
      <c r="CI27" s="77"/>
      <c r="CJ27" s="77"/>
      <c r="CK27" s="77"/>
      <c r="CL27" s="77"/>
      <c r="CM27" s="77"/>
      <c r="CN27" s="77"/>
      <c r="CO27" s="77"/>
      <c r="CP27" s="77"/>
      <c r="CQ27" s="77"/>
      <c r="CR27" s="77"/>
      <c r="CS27" s="77"/>
      <c r="CT27" s="77"/>
      <c r="CU27" s="77"/>
      <c r="CV27" s="77"/>
      <c r="CW27" s="77"/>
      <c r="CX27" s="77"/>
      <c r="CY27" s="77"/>
      <c r="CZ27" s="44"/>
      <c r="DA27" s="44"/>
    </row>
    <row r="28" spans="1:107"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row>
    <row r="29" spans="1:107"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row>
    <row r="30" spans="1:107" s="43" customFormat="1" ht="15" customHeight="1" x14ac:dyDescent="0.3">
      <c r="A30" s="1"/>
      <c r="B30" s="5" t="s">
        <v>56</v>
      </c>
      <c r="D30" s="59"/>
      <c r="E30" s="59"/>
      <c r="F30" s="59"/>
      <c r="G30" s="59"/>
      <c r="H30" s="59"/>
      <c r="I30" s="59"/>
      <c r="J30" s="59"/>
      <c r="K30" s="59"/>
      <c r="L30" s="59"/>
      <c r="M30" s="59"/>
      <c r="N30" s="59"/>
      <c r="O30" s="59"/>
    </row>
    <row r="31" spans="1:107" s="43" customFormat="1" ht="15" customHeight="1" x14ac:dyDescent="0.3">
      <c r="A31" s="1"/>
      <c r="B31" s="8" t="s">
        <v>50</v>
      </c>
      <c r="D31" s="59"/>
      <c r="E31" s="59"/>
      <c r="F31" s="59"/>
      <c r="G31" s="59"/>
      <c r="H31" s="59"/>
      <c r="I31" s="59"/>
      <c r="J31" s="59"/>
      <c r="K31" s="59"/>
      <c r="L31" s="59"/>
      <c r="M31" s="59"/>
      <c r="N31" s="59"/>
      <c r="O31" s="59"/>
    </row>
    <row r="32" spans="1:107" s="43" customFormat="1" ht="15" customHeight="1" x14ac:dyDescent="0.3">
      <c r="A32" s="1"/>
      <c r="B32" s="8" t="s">
        <v>52</v>
      </c>
      <c r="D32" s="59"/>
      <c r="E32" s="59"/>
      <c r="F32" s="59"/>
      <c r="G32" s="59"/>
      <c r="H32" s="59"/>
      <c r="I32" s="59"/>
      <c r="J32" s="59"/>
      <c r="K32" s="59"/>
      <c r="L32" s="59"/>
      <c r="M32" s="59"/>
      <c r="N32" s="59"/>
      <c r="O32" s="59"/>
    </row>
    <row r="33" spans="1:17" s="43" customFormat="1" ht="30.6" customHeight="1" x14ac:dyDescent="0.3">
      <c r="A33" s="1"/>
      <c r="B33" s="132" t="s">
        <v>57</v>
      </c>
      <c r="C33" s="132"/>
      <c r="D33" s="132"/>
      <c r="E33" s="132"/>
      <c r="F33" s="132"/>
      <c r="G33" s="132"/>
      <c r="H33" s="132"/>
      <c r="I33" s="132"/>
      <c r="J33" s="132"/>
      <c r="K33" s="132"/>
      <c r="L33" s="132"/>
      <c r="M33" s="132"/>
      <c r="N33" s="132"/>
      <c r="O33" s="132"/>
      <c r="P33" s="132"/>
      <c r="Q33" s="132"/>
    </row>
    <row r="34" spans="1:17" s="69" customFormat="1" ht="56.4" customHeight="1" x14ac:dyDescent="0.3">
      <c r="A34" s="70"/>
      <c r="B34" s="133" t="s">
        <v>92</v>
      </c>
      <c r="C34" s="133"/>
      <c r="D34" s="133"/>
      <c r="E34" s="133"/>
      <c r="F34" s="133"/>
      <c r="G34" s="133"/>
      <c r="H34" s="133"/>
      <c r="I34" s="133"/>
      <c r="J34" s="133"/>
      <c r="K34" s="133"/>
      <c r="L34" s="133"/>
      <c r="M34" s="133"/>
      <c r="N34" s="133"/>
      <c r="O34" s="133"/>
      <c r="P34" s="133"/>
      <c r="Q34" s="133"/>
    </row>
    <row r="35" spans="1:17" s="43" customFormat="1" ht="15" customHeight="1" x14ac:dyDescent="0.3">
      <c r="A35" s="1"/>
      <c r="B35" s="5" t="s">
        <v>39</v>
      </c>
      <c r="D35" s="59"/>
      <c r="E35" s="59"/>
      <c r="F35" s="59"/>
      <c r="G35" s="59"/>
      <c r="H35" s="59"/>
      <c r="I35" s="59"/>
      <c r="J35" s="59"/>
      <c r="K35" s="59"/>
      <c r="L35" s="59"/>
      <c r="M35" s="59"/>
      <c r="N35" s="59"/>
      <c r="O35" s="59"/>
    </row>
    <row r="36" spans="1:17" s="43" customFormat="1" ht="15" customHeight="1" x14ac:dyDescent="0.3">
      <c r="A36" s="1"/>
      <c r="B36" s="56"/>
      <c r="C36" s="57"/>
      <c r="D36" s="59"/>
      <c r="E36" s="59"/>
      <c r="F36" s="59"/>
      <c r="G36" s="59"/>
      <c r="H36" s="59"/>
      <c r="I36" s="59"/>
      <c r="J36" s="59"/>
      <c r="K36" s="59"/>
      <c r="L36" s="59"/>
      <c r="M36" s="59"/>
      <c r="N36" s="59"/>
      <c r="O36" s="59"/>
    </row>
    <row r="37" spans="1:17" s="58" customFormat="1" x14ac:dyDescent="0.3"/>
    <row r="38" spans="1:17" s="58" customFormat="1" x14ac:dyDescent="0.3"/>
    <row r="39" spans="1:17" s="58" customFormat="1" x14ac:dyDescent="0.3"/>
    <row r="40" spans="1:17" s="58" customFormat="1" x14ac:dyDescent="0.3"/>
    <row r="41" spans="1:17" s="58" customFormat="1" x14ac:dyDescent="0.3"/>
    <row r="42" spans="1:17" s="46" customFormat="1" x14ac:dyDescent="0.3"/>
    <row r="43" spans="1:17" s="46" customFormat="1" x14ac:dyDescent="0.3"/>
    <row r="44" spans="1:17" s="46" customFormat="1" x14ac:dyDescent="0.3"/>
    <row r="45" spans="1:17" s="46" customFormat="1" x14ac:dyDescent="0.3"/>
    <row r="46" spans="1:17" s="46" customFormat="1" x14ac:dyDescent="0.3"/>
    <row r="47" spans="1:17" s="46" customFormat="1" x14ac:dyDescent="0.3"/>
    <row r="48" spans="1:17" s="46" customFormat="1" x14ac:dyDescent="0.3"/>
    <row r="49" s="46" customFormat="1" x14ac:dyDescent="0.3"/>
  </sheetData>
  <mergeCells count="22">
    <mergeCell ref="B33:Q33"/>
    <mergeCell ref="B34:Q34"/>
    <mergeCell ref="CZ9:CZ10"/>
    <mergeCell ref="DA9:DA10"/>
    <mergeCell ref="DB9:DB10"/>
    <mergeCell ref="CV9:CY9"/>
    <mergeCell ref="DC9:DC10"/>
    <mergeCell ref="B20:C20"/>
    <mergeCell ref="B21:C21"/>
    <mergeCell ref="P9:AA9"/>
    <mergeCell ref="AB9:AM9"/>
    <mergeCell ref="AN9:AY9"/>
    <mergeCell ref="AZ9:BK9"/>
    <mergeCell ref="BL9:BW9"/>
    <mergeCell ref="D9:O9"/>
    <mergeCell ref="BX9:CI9"/>
    <mergeCell ref="CJ9:CU9"/>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4"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CZ11:DC11 DB12:DB16 DB19:DB21</xm:sqref>
        </x14:conditionalFormatting>
        <x14:conditionalFormatting xmlns:xm="http://schemas.microsoft.com/office/excel/2006/main">
          <x14:cfRule type="iconSet" priority="13"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CZ17:CZ18 DA20:DA21 DA13:DA16</xm:sqref>
        </x14:conditionalFormatting>
        <x14:conditionalFormatting xmlns:xm="http://schemas.microsoft.com/office/excel/2006/main">
          <x14:cfRule type="iconSet" priority="12"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DC20:DC21 DC13:DC18</xm:sqref>
        </x14:conditionalFormatting>
        <x14:conditionalFormatting xmlns:xm="http://schemas.microsoft.com/office/excel/2006/main">
          <x14:cfRule type="iconSet" priority="9"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DA19</xm:sqref>
        </x14:conditionalFormatting>
        <x14:conditionalFormatting xmlns:xm="http://schemas.microsoft.com/office/excel/2006/main">
          <x14:cfRule type="iconSet" priority="8"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DC19</xm:sqref>
        </x14:conditionalFormatting>
        <x14:conditionalFormatting xmlns:xm="http://schemas.microsoft.com/office/excel/2006/main">
          <x14:cfRule type="iconSet" priority="7"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CZ13:CZ16</xm:sqref>
        </x14:conditionalFormatting>
        <x14:conditionalFormatting xmlns:xm="http://schemas.microsoft.com/office/excel/2006/main">
          <x14:cfRule type="iconSet" priority="6"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CZ19:CZ21</xm:sqref>
        </x14:conditionalFormatting>
        <x14:conditionalFormatting xmlns:xm="http://schemas.microsoft.com/office/excel/2006/main">
          <x14:cfRule type="iconSet" priority="2"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DA17:DA18</xm:sqref>
        </x14:conditionalFormatting>
        <x14:conditionalFormatting xmlns:xm="http://schemas.microsoft.com/office/excel/2006/main">
          <x14:cfRule type="iconSet" priority="1" id="{1DCC058D-5327-4763-A740-30BBB8ED5A6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DB17:DB18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2021-06-15T18:37:18Z</dcterms:modified>
</cp:coreProperties>
</file>